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Birkerød Vandforsyning Amba (V021)\ØR2024\"/>
    </mc:Choice>
  </mc:AlternateContent>
  <xr:revisionPtr revIDLastSave="0" documentId="13_ncr:1_{503E4617-251B-4334-BAA5-9784224B92F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1" l="1"/>
  <c r="E27" i="41" s="1"/>
  <c r="C29" i="2" s="1"/>
  <c r="E31" i="41" l="1"/>
  <c r="E33" i="41" l="1"/>
  <c r="C17" i="22" s="1"/>
  <c r="C17" i="15"/>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9" i="30"/>
  <c r="G31" i="30" s="1"/>
  <c r="G25" i="36" l="1"/>
  <c r="G29" i="36" s="1"/>
  <c r="G31" i="36" s="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<sst xmlns="http://schemas.openxmlformats.org/spreadsheetml/2006/main" count="549" uniqueCount="261">
  <si>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</si>
  <si>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</si>
  <si>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</si>
  <si>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</si>
  <si>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</si>
  <si>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</si>
  <si>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</si>
  <si>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</si>
  <si>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</si>
  <si>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</si>
  <si>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</si>
  <si>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</si>
  <si>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</si>
  <si>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</si>
  <si>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</si>
  <si>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</si>
  <si>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</si>
  <si>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</si>
  <si>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</si>
  <si>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</si>
  <si>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</si>
  <si>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</si>
  <si>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</si>
  <si>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</si>
  <si>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</si>
  <si>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</si>
  <si>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</si>
  <si>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</si>
  <si>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</si>
  <si>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</si>
  <si>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</si>
  <si>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</si>
  <si>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</si>
  <si>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</si>
  <si>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</si>
  <si>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</si>
  <si>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</si>
  <si>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</si>
  <si>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</si>
  <si>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</si>
  <si>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</si>
  <si>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</si>
  <si>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</si>
  <si>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</si>
  <si>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</si>
  <si>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</si>
  <si>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</si>
  <si>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</si>
  <si>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</si>
  <si>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</si>
  <si>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</si>
  <si>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</si>
  <si>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</si>
  <si>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</si>
  <si>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</si>
  <si>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</si>
  <si>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</si>
  <si>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</si>
  <si>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</si>
  <si>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</si>
  <si>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</si>
  <si>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</si>
  <si>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</si>
  <si>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</si>
  <si>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</si>
  <si>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</si>
  <si>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</si>
  <si>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</si>
  <si>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</si>
  <si>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</si>
  <si>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</si>
  <si>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</si>
  <si>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</si>
  <si>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</si>
  <si>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</si>
  <si>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</si>
  <si>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</si>
  <si>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</si>
  <si>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</si>
  <si>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</si>
  <si>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</si>
  <si>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</si>
  <si>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</si>
  <si>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</si>
  <si>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</si>
  <si>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</si>
  <si>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</si>
  <si>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</si>
  <si>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</si>
  <si>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</si>
  <si>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</si>
  <si>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</si>
  <si>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</si>
  <si>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</si>
  <si>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</si>
  <si>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</si>
  <si>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</si>
  <si>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</si>
  <si>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</si>
  <si>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</si>
  <si>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</si>
  <si>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</si>
  <si>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</si>
  <si>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</si>
  <si>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</si>
  <si>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</si>
  <si>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</si>
  <si>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</si>
  <si>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</si>
  <si>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</si>
  <si>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</si>
  <si>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</si>
  <si>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</si>
  <si>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</si>
  <si>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</si>
  <si>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</si>
  <si>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</si>
  <si>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</si>
  <si>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</si>
  <si>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</si>
  <si>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</si>
  <si>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</si>
  <si>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</si>
  <si>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</si>
  <si>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</si>
  <si>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</si>
  <si>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</si>
  <si>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</si>
  <si>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</si>
  <si>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</si>
  <si>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</si>
  <si>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</si>
  <si>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</si>
  <si>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</si>
  <si>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</si>
  <si>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</si>
  <si>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</si>
  <si>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</si>
  <si>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</si>
  <si>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</si>
  <si>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</si>
  <si>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</si>
  <si>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</si>
  <si>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</si>
  <si>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</si>
  <si>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</si>
  <si>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</si>
  <si>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</si>
  <si>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</si>
  <si>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</si>
  <si>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</si>
  <si>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</si>
  <si>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</si>
  <si>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</si>
  <si>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</si>
  <si>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</si>
  <si>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</si>
  <si>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</si>
  <si>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</si>
  <si>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</si>
  <si>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</si>
  <si>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</si>
  <si>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</si>
  <si>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</si>
  <si>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</si>
  <si>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</si>
  <si>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</si>
  <si>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</si>
  <si>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</si>
  <si>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</si>
  <si>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</si>
  <si>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</si>
  <si>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</si>
  <si>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</si>
  <si>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</si>
  <si>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</si>
  <si>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</si>
  <si>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</si>
  <si>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</si>
  <si>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</si>
  <si>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</si>
  <si>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</si>
  <si>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</si>
  <si>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</si>
  <si>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</si>
  <si>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</si>
  <si>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</si>
  <si>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</si>
  <si>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</si>
  <si>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</si>
  <si>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</si>
  <si>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</si>
  <si>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</si>
  <si>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</si>
  <si>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</si>
  <si>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</si>
  <si>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</si>
  <si>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</si>
  <si>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</si>
  <si>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</si>
  <si>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</si>
  <si>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</si>
  <si>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</si>
  <si>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</si>
  <si>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</si>
  <si>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</si>
  <si>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</si>
  <si>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</si>
  <si>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</si>
  <si>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</si>
  <si>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</si>
  <si>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</si>
  <si>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</si>
  <si>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</si>
  <si>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</si>
  <si>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</si>
  <si>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</si>
  <si>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</si>
  <si>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</si>
  <si>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</si>
  <si>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</si>
  <si>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</si>
  <si>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</si>
  <si>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</si>
  <si>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</si>
  <si>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</si>
  <si>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</si>
  <si>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</si>
  <si>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</si>
  <si>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</si>
  <si>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</si>
  <si>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</si>
  <si>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</si>
  <si>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</si>
  <si>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</si>
  <si>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</si>
  <si>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</si>
  <si>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</si>
  <si>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</si>
  <si>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</si>
  <si>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</si>
  <si>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</si>
  <si>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</si>
  <si>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</si>
  <si>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</si>
  <si>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t>
  </si>
  <si>
    <t>Ejendomsskat</t>
  </si>
  <si>
    <t>Sikring af rentvandstank</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</si>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</sst>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0" t="s">
        <v>4</v>
      </c>
      <c r="E6" s="80"/>
      <c r="F6" s="80"/>
      <c r="G6" s="80"/>
      <c r="H6" s="3"/>
      <c r="I6" s="1"/>
    </row>
    <row r="7" spans="1:9" ht="15" customHeight="1" x14ac:dyDescent="0.25">
      <c r="A7" s="1"/>
      <c r="B7" s="1"/>
      <c r="C7" s="3"/>
      <c r="D7" s="80"/>
      <c r="E7" s="80"/>
      <c r="F7" s="80"/>
      <c r="G7" s="80"/>
      <c r="H7" s="3"/>
      <c r="I7" s="1"/>
    </row>
    <row r="8" spans="1:9" ht="15.75" x14ac:dyDescent="0.25">
      <c r="A8" s="1"/>
      <c r="B8" s="1"/>
      <c r="C8" s="4"/>
      <c r="D8" s="85" t="s">
        <v>235</v>
      </c>
      <c r="E8" s="85"/>
      <c r="F8" s="85"/>
      <c r="G8" s="8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4" t="s">
        <v>5</v>
      </c>
      <c r="E11" s="84"/>
      <c r="F11" s="84"/>
      <c r="G11" s="84"/>
      <c r="H11" s="5"/>
      <c r="I11" s="1"/>
    </row>
    <row r="12" spans="1:9" x14ac:dyDescent="0.25">
      <c r="A12" s="1"/>
      <c r="B12" s="1"/>
      <c r="C12" s="1"/>
      <c r="D12" s="1"/>
      <c r="E12" s="1"/>
      <c r="F12" s="1"/>
      <c r="G12" s="1"/>
      <c r="H12" s="1"/>
      <c r="I12" s="1"/>
    </row>
    <row r="13" spans="1:9" x14ac:dyDescent="0.25">
      <c r="A13" s="1"/>
      <c r="B13" s="1"/>
      <c r="C13" s="6" t="s">
        <v>6</v>
      </c>
      <c r="D13" s="77" t="s">
        <v>162</v>
      </c>
      <c r="E13" s="78"/>
      <c r="F13" s="78"/>
      <c r="G13" s="79"/>
      <c r="H13" s="1"/>
      <c r="I13" s="1"/>
    </row>
    <row r="14" spans="1:9" x14ac:dyDescent="0.25">
      <c r="A14" s="1"/>
      <c r="B14" s="1"/>
      <c r="C14" s="6" t="s">
        <v>14</v>
      </c>
      <c r="D14" s="77" t="s">
        <v>197</v>
      </c>
      <c r="E14" s="78"/>
      <c r="F14" s="78"/>
      <c r="G14" s="79"/>
      <c r="H14" s="1"/>
      <c r="I14" s="1"/>
    </row>
    <row r="15" spans="1:9" x14ac:dyDescent="0.25">
      <c r="A15" s="1"/>
      <c r="B15" s="1"/>
      <c r="C15" s="6" t="s">
        <v>30</v>
      </c>
      <c r="D15" s="77" t="s">
        <v>141</v>
      </c>
      <c r="E15" s="78"/>
      <c r="F15" s="78"/>
      <c r="G15" s="79"/>
      <c r="H15" s="1"/>
      <c r="I15" s="1"/>
    </row>
    <row r="16" spans="1:9" x14ac:dyDescent="0.25">
      <c r="A16" s="1"/>
      <c r="B16" s="1"/>
      <c r="C16" s="6" t="s">
        <v>31</v>
      </c>
      <c r="D16" s="77" t="s">
        <v>194</v>
      </c>
      <c r="E16" s="78"/>
      <c r="F16" s="78"/>
      <c r="G16" s="79"/>
      <c r="H16" s="1"/>
      <c r="I16" s="1"/>
    </row>
    <row r="17" spans="1:9" x14ac:dyDescent="0.25">
      <c r="A17" s="1"/>
      <c r="B17" s="1"/>
      <c r="C17" s="6" t="s">
        <v>102</v>
      </c>
      <c r="D17" s="77" t="s">
        <v>195</v>
      </c>
      <c r="E17" s="78"/>
      <c r="F17" s="78"/>
      <c r="G17" s="79"/>
      <c r="H17" s="1"/>
      <c r="I17" s="1"/>
    </row>
    <row r="18" spans="1:9" x14ac:dyDescent="0.25">
      <c r="A18" s="1"/>
      <c r="B18" s="1"/>
      <c r="C18" s="6" t="s">
        <v>86</v>
      </c>
      <c r="D18" s="86" t="s">
        <v>79</v>
      </c>
      <c r="E18" s="87"/>
      <c r="F18" s="87"/>
      <c r="G18" s="88"/>
      <c r="H18" s="1"/>
      <c r="I18" s="1"/>
    </row>
    <row r="19" spans="1:9" x14ac:dyDescent="0.25">
      <c r="A19" s="1"/>
      <c r="B19" s="1"/>
      <c r="C19" s="6" t="s">
        <v>87</v>
      </c>
      <c r="D19" s="86" t="s">
        <v>80</v>
      </c>
      <c r="E19" s="87"/>
      <c r="F19" s="87"/>
      <c r="G19" s="88"/>
      <c r="H19" s="1"/>
      <c r="I19" s="1"/>
    </row>
    <row r="20" spans="1:9" x14ac:dyDescent="0.25">
      <c r="A20" s="1"/>
      <c r="B20" s="1"/>
      <c r="C20" s="6" t="s">
        <v>7</v>
      </c>
      <c r="D20" s="86" t="s">
        <v>9</v>
      </c>
      <c r="E20" s="87"/>
      <c r="F20" s="87"/>
      <c r="G20" s="88"/>
      <c r="H20" s="1"/>
      <c r="I20" s="1"/>
    </row>
    <row r="21" spans="1:9" x14ac:dyDescent="0.25">
      <c r="A21" s="1"/>
      <c r="B21" s="1"/>
      <c r="C21" s="6" t="s">
        <v>88</v>
      </c>
      <c r="D21" s="92" t="s">
        <v>11</v>
      </c>
      <c r="E21" s="93"/>
      <c r="F21" s="93"/>
      <c r="G21" s="94"/>
      <c r="H21" s="1"/>
      <c r="I21" s="1"/>
    </row>
    <row r="22" spans="1:9" x14ac:dyDescent="0.25">
      <c r="A22" s="1"/>
      <c r="B22" s="1"/>
      <c r="C22" s="6" t="s">
        <v>73</v>
      </c>
      <c r="D22" s="81" t="s">
        <v>196</v>
      </c>
      <c r="E22" s="82"/>
      <c r="F22" s="82"/>
      <c r="G22" s="83"/>
      <c r="H22" s="1"/>
      <c r="I22" s="1"/>
    </row>
    <row r="23" spans="1:9" x14ac:dyDescent="0.25">
      <c r="A23" s="1"/>
      <c r="B23" s="1"/>
      <c r="C23" s="6" t="s">
        <v>8</v>
      </c>
      <c r="D23" s="81" t="s">
        <v>176</v>
      </c>
      <c r="E23" s="82"/>
      <c r="F23" s="82"/>
      <c r="G23" s="83"/>
      <c r="H23" s="1"/>
      <c r="I23" s="1"/>
    </row>
    <row r="24" spans="1:9" x14ac:dyDescent="0.25">
      <c r="A24" s="1"/>
      <c r="B24" s="1"/>
      <c r="C24" s="6" t="s">
        <v>172</v>
      </c>
      <c r="D24" s="81" t="s">
        <v>163</v>
      </c>
      <c r="E24" s="82"/>
      <c r="F24" s="82"/>
      <c r="G24" s="83"/>
      <c r="H24" s="1"/>
      <c r="I24" s="1"/>
    </row>
    <row r="25" spans="1:9" x14ac:dyDescent="0.25">
      <c r="A25" s="1"/>
      <c r="B25" s="1"/>
      <c r="C25" s="6" t="s">
        <v>173</v>
      </c>
      <c r="D25" s="81" t="s">
        <v>74</v>
      </c>
      <c r="E25" s="82"/>
      <c r="F25" s="82"/>
      <c r="G25" s="83"/>
      <c r="H25" s="1"/>
      <c r="I25" s="1"/>
    </row>
    <row r="26" spans="1:9" x14ac:dyDescent="0.25">
      <c r="A26" s="1"/>
      <c r="B26" s="1"/>
      <c r="C26" s="6" t="s">
        <v>174</v>
      </c>
      <c r="D26" s="81" t="s">
        <v>75</v>
      </c>
      <c r="E26" s="82"/>
      <c r="F26" s="82"/>
      <c r="G26" s="83"/>
      <c r="H26" s="1"/>
      <c r="I26" s="1"/>
    </row>
    <row r="27" spans="1:9" x14ac:dyDescent="0.25">
      <c r="A27" s="1"/>
      <c r="B27" s="1"/>
      <c r="C27" s="6" t="s">
        <v>89</v>
      </c>
      <c r="D27" s="81" t="s">
        <v>103</v>
      </c>
      <c r="E27" s="82"/>
      <c r="F27" s="82"/>
      <c r="G27" s="83"/>
      <c r="H27" s="1"/>
      <c r="I27" s="1"/>
    </row>
    <row r="28" spans="1:9" x14ac:dyDescent="0.25">
      <c r="A28" s="1"/>
      <c r="B28" s="1"/>
      <c r="C28" s="6" t="s">
        <v>83</v>
      </c>
      <c r="D28" s="81" t="s">
        <v>32</v>
      </c>
      <c r="E28" s="82"/>
      <c r="F28" s="82"/>
      <c r="G28" s="83"/>
      <c r="H28" s="1"/>
      <c r="I28" s="1"/>
    </row>
    <row r="29" spans="1:9" x14ac:dyDescent="0.25">
      <c r="A29" s="1"/>
      <c r="B29" s="1"/>
      <c r="C29" s="6" t="s">
        <v>175</v>
      </c>
      <c r="D29" s="89" t="s">
        <v>84</v>
      </c>
      <c r="E29" s="90"/>
      <c r="F29" s="90"/>
      <c r="G29" s="9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p47R13tB8+4H5MPTS2nFJ5Sa/GS1ctQR/N1DsdPCULEAqS/dmeJeCS0rpDPMR+mJo2HZSuQRnwU/F0Bbv1q9gA==" saltValue="nGJ44qfeHke3FOkmbww1o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5" t="s">
        <v>92</v>
      </c>
      <c r="C3" s="95"/>
      <c r="D3" s="95"/>
      <c r="E3" s="1"/>
      <c r="F3" s="1"/>
    </row>
    <row r="4" spans="1:6" ht="15" customHeight="1" x14ac:dyDescent="0.25">
      <c r="A4" s="1"/>
      <c r="B4" s="95"/>
      <c r="C4" s="95"/>
      <c r="D4" s="9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5" t="s">
        <v>226</v>
      </c>
      <c r="C8" s="106"/>
      <c r="D8" s="107"/>
      <c r="E8" s="1"/>
      <c r="F8" s="1"/>
    </row>
    <row r="9" spans="1:6" ht="15" customHeight="1" x14ac:dyDescent="0.25">
      <c r="A9" s="1"/>
      <c r="B9" s="32" t="s">
        <v>28</v>
      </c>
      <c r="C9" s="11" t="s">
        <v>212</v>
      </c>
      <c r="D9" s="11"/>
      <c r="E9" s="1"/>
      <c r="F9" s="1"/>
    </row>
    <row r="10" spans="1:6" ht="15" customHeight="1" x14ac:dyDescent="0.25">
      <c r="A10" s="1"/>
      <c r="B10" s="69" t="s">
        <v>243</v>
      </c>
      <c r="C10" s="9">
        <v>7218771</v>
      </c>
      <c r="D10" s="14" t="s">
        <v>3</v>
      </c>
      <c r="E10" s="1"/>
      <c r="F10" s="1"/>
    </row>
    <row r="11" spans="1:6" x14ac:dyDescent="0.25">
      <c r="A11" s="1"/>
      <c r="B11" s="69" t="s">
        <v>244</v>
      </c>
      <c r="C11" s="9">
        <v>75782</v>
      </c>
      <c r="D11" s="14" t="s">
        <v>3</v>
      </c>
      <c r="E11" s="1"/>
      <c r="F11" s="1"/>
    </row>
    <row r="12" spans="1:6" x14ac:dyDescent="0.25">
      <c r="A12" s="1"/>
      <c r="B12" s="69" t="s">
        <v>245</v>
      </c>
      <c r="C12" s="9">
        <v>76187</v>
      </c>
      <c r="D12" s="14" t="s">
        <v>3</v>
      </c>
      <c r="E12" s="1"/>
      <c r="F12" s="1"/>
    </row>
    <row r="13" spans="1:6" x14ac:dyDescent="0.25">
      <c r="A13" s="1"/>
      <c r="B13" s="69" t="s">
        <v>246</v>
      </c>
      <c r="C13" s="9">
        <v>28956</v>
      </c>
      <c r="D13" s="14" t="s">
        <v>3</v>
      </c>
      <c r="E13" s="1"/>
      <c r="F13" s="1"/>
    </row>
    <row r="14" spans="1:6" x14ac:dyDescent="0.25">
      <c r="A14" s="1"/>
      <c r="B14" s="69"/>
      <c r="C14" s="9"/>
      <c r="D14" s="14" t="s">
        <v>3</v>
      </c>
      <c r="E14" s="1"/>
      <c r="F14" s="1"/>
    </row>
    <row r="15" spans="1:6" x14ac:dyDescent="0.25">
      <c r="A15" s="1"/>
      <c r="B15" s="69"/>
      <c r="C15" s="9"/>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3" t="s">
        <v>213</v>
      </c>
      <c r="C19" s="12">
        <f>SUM(C10:C18)</f>
        <v>7399696</v>
      </c>
      <c r="D19" s="13" t="s">
        <v>3</v>
      </c>
      <c r="E19" s="1"/>
      <c r="F19" s="1"/>
    </row>
    <row r="20" spans="1:6" x14ac:dyDescent="0.25">
      <c r="A20" s="1"/>
      <c r="B20" s="53" t="s">
        <v>214</v>
      </c>
      <c r="C20" s="12">
        <f>C19*(1+'Fane 13. Nøgletal'!C16)^2</f>
        <v>8643796.8248934392</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XPqpyR+PxsKx0S8sVzalTG7zyEnOEmVwoyDPbpXPkrQ1Ss6ncyyztAn6MxzXrg4LgGf/L+SANPixn/FIkq9n4A==" saltValue="ZRtt3YZQu/UOLugD3PBVd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8" t="s">
        <v>227</v>
      </c>
      <c r="C3" s="98"/>
      <c r="D3" s="98"/>
      <c r="E3" s="98"/>
      <c r="F3" s="98"/>
      <c r="G3" s="1"/>
    </row>
    <row r="4" spans="1:7" ht="15" customHeight="1" x14ac:dyDescent="0.25">
      <c r="A4" s="1"/>
      <c r="B4" s="98"/>
      <c r="C4" s="98"/>
      <c r="D4" s="98"/>
      <c r="E4" s="98"/>
      <c r="F4" s="98"/>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05" t="s">
        <v>248</v>
      </c>
      <c r="C8" s="106"/>
      <c r="D8" s="106"/>
      <c r="E8" s="106"/>
      <c r="F8" s="107"/>
      <c r="G8" s="1"/>
    </row>
    <row r="9" spans="1:7" x14ac:dyDescent="0.25">
      <c r="A9" s="1"/>
      <c r="B9" s="99" t="s">
        <v>249</v>
      </c>
      <c r="C9" s="100"/>
      <c r="D9" s="101"/>
      <c r="E9" s="28">
        <v>-4492134.1356990263</v>
      </c>
      <c r="F9" s="14" t="s">
        <v>3</v>
      </c>
      <c r="G9" s="1"/>
    </row>
    <row r="10" spans="1:7" x14ac:dyDescent="0.25">
      <c r="A10" s="1"/>
      <c r="B10" s="53"/>
      <c r="C10" s="54"/>
      <c r="D10" s="54"/>
      <c r="E10" s="54"/>
      <c r="F10" s="19"/>
      <c r="G10" s="1"/>
    </row>
    <row r="11" spans="1:7" ht="51.75" customHeight="1" x14ac:dyDescent="0.25">
      <c r="A11" s="1"/>
      <c r="B11" s="117" t="s">
        <v>250</v>
      </c>
      <c r="C11" s="118"/>
      <c r="D11" s="118"/>
      <c r="E11" s="118"/>
      <c r="F11" s="119"/>
      <c r="G11" s="1"/>
    </row>
    <row r="12" spans="1:7" x14ac:dyDescent="0.25">
      <c r="A12" s="1"/>
      <c r="B12" s="1"/>
      <c r="C12" s="1"/>
      <c r="D12" s="1"/>
      <c r="E12" s="1"/>
      <c r="F12" s="1"/>
      <c r="G12" s="1"/>
    </row>
    <row r="13" spans="1:7" x14ac:dyDescent="0.25">
      <c r="A13" s="1"/>
      <c r="B13" s="105" t="s">
        <v>140</v>
      </c>
      <c r="C13" s="106"/>
      <c r="D13" s="106"/>
      <c r="E13" s="106"/>
      <c r="F13" s="107"/>
      <c r="G13" s="1"/>
    </row>
    <row r="14" spans="1:7" x14ac:dyDescent="0.25">
      <c r="A14" s="1"/>
      <c r="B14" s="99" t="s">
        <v>251</v>
      </c>
      <c r="C14" s="100"/>
      <c r="D14" s="101"/>
      <c r="E14" s="9">
        <v>-919547.58254200593</v>
      </c>
      <c r="F14" s="14" t="s">
        <v>3</v>
      </c>
      <c r="G14" s="1"/>
    </row>
    <row r="15" spans="1:7" x14ac:dyDescent="0.25">
      <c r="A15" s="1"/>
      <c r="B15" s="99" t="s">
        <v>252</v>
      </c>
      <c r="C15" s="100"/>
      <c r="D15" s="101"/>
      <c r="E15" s="9">
        <v>-919547.58254200593</v>
      </c>
      <c r="F15" s="14" t="s">
        <v>3</v>
      </c>
      <c r="G15" s="1"/>
    </row>
    <row r="16" spans="1:7" x14ac:dyDescent="0.25">
      <c r="A16" s="1"/>
      <c r="B16" s="53"/>
      <c r="C16" s="54"/>
      <c r="D16" s="54"/>
      <c r="E16" s="54"/>
      <c r="F16" s="19"/>
      <c r="G16" s="1"/>
    </row>
    <row r="17" spans="1:7" ht="31.5" customHeight="1" x14ac:dyDescent="0.25">
      <c r="A17" s="1"/>
      <c r="B17" s="117" t="s">
        <v>253</v>
      </c>
      <c r="C17" s="118"/>
      <c r="D17" s="118"/>
      <c r="E17" s="118"/>
      <c r="F17" s="119"/>
      <c r="G17" s="1"/>
    </row>
    <row r="18" spans="1:7" x14ac:dyDescent="0.25">
      <c r="A18" s="1"/>
      <c r="B18" s="1"/>
      <c r="C18" s="1"/>
      <c r="D18" s="1"/>
      <c r="E18" s="1"/>
      <c r="F18" s="1"/>
      <c r="G18" s="1"/>
    </row>
    <row r="19" spans="1:7" x14ac:dyDescent="0.25">
      <c r="A19" s="1"/>
      <c r="B19" s="63" t="s">
        <v>254</v>
      </c>
      <c r="C19" s="64"/>
      <c r="D19" s="64"/>
      <c r="E19" s="64"/>
      <c r="F19" s="65"/>
      <c r="G19" s="1"/>
    </row>
    <row r="20" spans="1:7" x14ac:dyDescent="0.25">
      <c r="A20" s="1"/>
      <c r="B20" s="66" t="s">
        <v>255</v>
      </c>
      <c r="C20" s="67"/>
      <c r="D20" s="68"/>
      <c r="E20" s="9">
        <v>14525461.505542338</v>
      </c>
      <c r="F20" s="14" t="s">
        <v>3</v>
      </c>
      <c r="G20" s="1"/>
    </row>
    <row r="21" spans="1:7" x14ac:dyDescent="0.25">
      <c r="A21" s="1"/>
      <c r="B21" s="66" t="s">
        <v>256</v>
      </c>
      <c r="C21" s="67"/>
      <c r="D21" s="68"/>
      <c r="E21" s="9">
        <v>14159491</v>
      </c>
      <c r="F21" s="14" t="s">
        <v>3</v>
      </c>
      <c r="G21" s="1"/>
    </row>
    <row r="22" spans="1:7" x14ac:dyDescent="0.25">
      <c r="A22" s="1"/>
      <c r="B22" s="66" t="s">
        <v>29</v>
      </c>
      <c r="C22" s="67"/>
      <c r="D22" s="68"/>
      <c r="E22" s="9">
        <v>0</v>
      </c>
      <c r="F22" s="14" t="s">
        <v>3</v>
      </c>
      <c r="G22" s="1"/>
    </row>
    <row r="23" spans="1:7" x14ac:dyDescent="0.25">
      <c r="A23" s="1"/>
      <c r="B23" s="71" t="s">
        <v>257</v>
      </c>
      <c r="C23" s="72"/>
      <c r="D23" s="73"/>
      <c r="E23" s="10">
        <f>E20-(E21-E22)</f>
        <v>365970.50554233789</v>
      </c>
      <c r="F23" s="17" t="s">
        <v>3</v>
      </c>
      <c r="G23" s="1"/>
    </row>
    <row r="24" spans="1:7" x14ac:dyDescent="0.25">
      <c r="A24" s="1"/>
      <c r="B24" s="53"/>
      <c r="C24" s="54"/>
      <c r="D24" s="54"/>
      <c r="E24" s="54"/>
      <c r="F24" s="19"/>
      <c r="G24" s="1"/>
    </row>
    <row r="25" spans="1:7" x14ac:dyDescent="0.25">
      <c r="A25" s="1"/>
      <c r="B25" s="1"/>
      <c r="C25" s="1"/>
      <c r="D25" s="1"/>
      <c r="E25" s="1"/>
      <c r="F25" s="1"/>
      <c r="G25" s="1"/>
    </row>
    <row r="26" spans="1:7" x14ac:dyDescent="0.25">
      <c r="A26" s="1"/>
      <c r="B26" s="105" t="s">
        <v>258</v>
      </c>
      <c r="C26" s="106"/>
      <c r="D26" s="106"/>
      <c r="E26" s="106"/>
      <c r="F26" s="107"/>
      <c r="G26" s="1"/>
    </row>
    <row r="27" spans="1:7" x14ac:dyDescent="0.25">
      <c r="A27" s="1"/>
      <c r="B27" s="124" t="s">
        <v>259</v>
      </c>
      <c r="C27" s="125"/>
      <c r="D27" s="126"/>
      <c r="E27" s="60">
        <f>IF(AND(E15&lt;0,E23&gt;0,ABS(SUM(E14:E15))&lt;E23),ABS(E14),IF(AND(E15&lt;0,E23&gt;0,ABS(SUM(E14:E15))&gt;E23),SUM(E14,E23),0))</f>
        <v>-553577.07699966803</v>
      </c>
      <c r="F27" s="17" t="s">
        <v>3</v>
      </c>
      <c r="G27" s="1"/>
    </row>
    <row r="28" spans="1:7" x14ac:dyDescent="0.25">
      <c r="A28" s="1"/>
      <c r="B28" s="105"/>
      <c r="C28" s="106"/>
      <c r="D28" s="106"/>
      <c r="E28" s="106"/>
      <c r="F28" s="107"/>
      <c r="G28" s="1"/>
    </row>
    <row r="29" spans="1:7" x14ac:dyDescent="0.25">
      <c r="A29" s="1"/>
      <c r="B29" s="1"/>
      <c r="C29" s="1"/>
      <c r="D29" s="1"/>
      <c r="E29" s="1"/>
      <c r="F29" s="1"/>
      <c r="G29" s="1"/>
    </row>
    <row r="30" spans="1:7" x14ac:dyDescent="0.25">
      <c r="A30" s="1"/>
      <c r="B30" s="105" t="s">
        <v>260</v>
      </c>
      <c r="C30" s="106"/>
      <c r="D30" s="106"/>
      <c r="E30" s="106"/>
      <c r="F30" s="107"/>
      <c r="G30" s="1"/>
    </row>
    <row r="31" spans="1:7" x14ac:dyDescent="0.25">
      <c r="A31" s="1"/>
      <c r="B31" s="127" t="s">
        <v>117</v>
      </c>
      <c r="C31" s="128"/>
      <c r="D31" s="129"/>
      <c r="E31" s="61">
        <f>IF(AND(E9&gt;0,(E9+E23)&gt;0),0,IF(AND(E9&gt;0,(E9+E23)&lt;0),(E9+E23),IF(AND(E9&lt;0,E23&lt;0),E23,0)))</f>
        <v>0</v>
      </c>
      <c r="F31" s="14" t="s">
        <v>3</v>
      </c>
      <c r="G31" s="1"/>
    </row>
    <row r="32" spans="1:7" x14ac:dyDescent="0.25">
      <c r="A32" s="1"/>
      <c r="B32" s="127" t="s">
        <v>85</v>
      </c>
      <c r="C32" s="128"/>
      <c r="D32" s="129"/>
      <c r="E32" s="9">
        <v>2</v>
      </c>
      <c r="F32" s="14" t="s">
        <v>18</v>
      </c>
      <c r="G32" s="1"/>
    </row>
    <row r="33" spans="1:7" x14ac:dyDescent="0.25">
      <c r="A33" s="1"/>
      <c r="B33" s="120" t="s">
        <v>116</v>
      </c>
      <c r="C33" s="120"/>
      <c r="D33" s="120"/>
      <c r="E33" s="60">
        <f>E31/E32</f>
        <v>0</v>
      </c>
      <c r="F33" s="17" t="s">
        <v>3</v>
      </c>
      <c r="G33" s="1"/>
    </row>
    <row r="34" spans="1:7" x14ac:dyDescent="0.25">
      <c r="A34" s="1"/>
      <c r="B34" s="121"/>
      <c r="C34" s="122"/>
      <c r="D34" s="122"/>
      <c r="E34" s="122"/>
      <c r="F34" s="12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Sm3MVJTht3IWw9Q7HBjkk4AptMhTD7SZl5ZvxuHibUCV4vvW3qWIWl0LFSAaEqR0T2+FO+YOYnj8jYANEpSFA==" saltValue="BI4Gpt3VP/6IjYgENa7YqQ=="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5" t="s">
        <v>183</v>
      </c>
      <c r="C3" s="95"/>
      <c r="D3" s="95"/>
      <c r="E3" s="95"/>
      <c r="F3" s="95"/>
      <c r="G3" s="95"/>
      <c r="H3" s="95"/>
      <c r="I3" s="1"/>
    </row>
    <row r="4" spans="1:9" ht="15" customHeight="1" x14ac:dyDescent="0.25">
      <c r="A4" s="1"/>
      <c r="B4" s="95"/>
      <c r="C4" s="95"/>
      <c r="D4" s="95"/>
      <c r="E4" s="95"/>
      <c r="F4" s="95"/>
      <c r="G4" s="95"/>
      <c r="H4" s="9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5" t="s">
        <v>184</v>
      </c>
      <c r="C8" s="106"/>
      <c r="D8" s="106"/>
      <c r="E8" s="106"/>
      <c r="F8" s="106"/>
      <c r="G8" s="106"/>
      <c r="H8" s="107"/>
      <c r="I8" s="1"/>
    </row>
    <row r="9" spans="1:9" ht="15" customHeight="1" x14ac:dyDescent="0.25">
      <c r="A9" s="1"/>
      <c r="B9" s="130" t="s">
        <v>234</v>
      </c>
      <c r="C9" s="131"/>
      <c r="D9" s="131"/>
      <c r="E9" s="131"/>
      <c r="F9" s="131"/>
      <c r="G9" s="131"/>
      <c r="H9" s="132"/>
      <c r="I9" s="1"/>
    </row>
    <row r="10" spans="1:9" x14ac:dyDescent="0.25">
      <c r="A10" s="1"/>
      <c r="B10" s="133" t="s">
        <v>185</v>
      </c>
      <c r="C10" s="134"/>
      <c r="D10" s="134"/>
      <c r="E10" s="134"/>
      <c r="F10" s="135"/>
      <c r="G10" s="45"/>
      <c r="H10" s="9" t="s">
        <v>3</v>
      </c>
      <c r="I10" s="1"/>
    </row>
    <row r="11" spans="1:9" x14ac:dyDescent="0.25">
      <c r="A11" s="1"/>
      <c r="B11" s="133" t="s">
        <v>186</v>
      </c>
      <c r="C11" s="134"/>
      <c r="D11" s="134"/>
      <c r="E11" s="134"/>
      <c r="F11" s="135"/>
      <c r="G11" s="45"/>
      <c r="H11" s="9" t="s">
        <v>3</v>
      </c>
      <c r="I11" s="1"/>
    </row>
    <row r="12" spans="1:9" x14ac:dyDescent="0.25">
      <c r="A12" s="1"/>
      <c r="B12" s="133" t="s">
        <v>187</v>
      </c>
      <c r="C12" s="134"/>
      <c r="D12" s="134"/>
      <c r="E12" s="134"/>
      <c r="F12" s="135"/>
      <c r="G12" s="9"/>
      <c r="H12" s="9" t="s">
        <v>3</v>
      </c>
      <c r="I12" s="1"/>
    </row>
    <row r="13" spans="1:9" x14ac:dyDescent="0.25">
      <c r="A13" s="1"/>
      <c r="B13" s="133" t="s">
        <v>188</v>
      </c>
      <c r="C13" s="134"/>
      <c r="D13" s="134"/>
      <c r="E13" s="134"/>
      <c r="F13" s="135"/>
      <c r="G13" s="9"/>
      <c r="H13" s="9" t="s">
        <v>3</v>
      </c>
      <c r="I13" s="1"/>
    </row>
    <row r="14" spans="1:9" x14ac:dyDescent="0.25">
      <c r="A14" s="1"/>
      <c r="B14" s="133" t="s">
        <v>189</v>
      </c>
      <c r="C14" s="134"/>
      <c r="D14" s="134"/>
      <c r="E14" s="134"/>
      <c r="F14" s="135"/>
      <c r="G14" s="9"/>
      <c r="H14" s="9" t="s">
        <v>3</v>
      </c>
      <c r="I14" s="1"/>
    </row>
    <row r="15" spans="1:9" x14ac:dyDescent="0.25">
      <c r="A15" s="1"/>
      <c r="B15" s="133" t="s">
        <v>190</v>
      </c>
      <c r="C15" s="134"/>
      <c r="D15" s="134"/>
      <c r="E15" s="134"/>
      <c r="F15" s="135"/>
      <c r="G15" s="9"/>
      <c r="H15" s="9" t="s">
        <v>3</v>
      </c>
      <c r="I15" s="1"/>
    </row>
    <row r="16" spans="1:9" x14ac:dyDescent="0.25">
      <c r="A16" s="1"/>
      <c r="B16" s="133" t="s">
        <v>191</v>
      </c>
      <c r="C16" s="134"/>
      <c r="D16" s="134"/>
      <c r="E16" s="134"/>
      <c r="F16" s="135"/>
      <c r="G16" s="9"/>
      <c r="H16" s="9" t="s">
        <v>3</v>
      </c>
      <c r="I16" s="1"/>
    </row>
    <row r="17" spans="1:9" x14ac:dyDescent="0.25">
      <c r="A17" s="1"/>
      <c r="B17" s="133" t="s">
        <v>192</v>
      </c>
      <c r="C17" s="134"/>
      <c r="D17" s="134"/>
      <c r="E17" s="134"/>
      <c r="F17" s="135"/>
      <c r="G17" s="9"/>
      <c r="H17" s="9" t="s">
        <v>3</v>
      </c>
      <c r="I17" s="1"/>
    </row>
    <row r="18" spans="1:9" x14ac:dyDescent="0.25">
      <c r="A18" s="1"/>
      <c r="B18" s="105" t="s">
        <v>193</v>
      </c>
      <c r="C18" s="106"/>
      <c r="D18" s="106"/>
      <c r="E18" s="106"/>
      <c r="F18" s="10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TRKKEgkeThIEs7AaFdo3hlOn/VhreCZywKoPtJSsAG7YF0Ebc9IB9FM1hZ57DuiviimPlcBgJy+IqulV05UONA==" saltValue="9lQwG17A5RS8LI9iF0ljU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177</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5" t="s">
        <v>155</v>
      </c>
      <c r="C8" s="106"/>
      <c r="D8" s="106"/>
      <c r="E8" s="106"/>
      <c r="F8" s="106"/>
      <c r="G8" s="106"/>
      <c r="H8" s="106"/>
      <c r="I8" s="106"/>
      <c r="J8" s="106"/>
      <c r="K8" s="107"/>
      <c r="L8" s="1"/>
    </row>
    <row r="9" spans="1:12" ht="39.75" customHeight="1" x14ac:dyDescent="0.25">
      <c r="A9" s="1"/>
      <c r="B9" s="18" t="s">
        <v>0</v>
      </c>
      <c r="C9" s="18" t="s">
        <v>1</v>
      </c>
      <c r="D9" s="136" t="s">
        <v>170</v>
      </c>
      <c r="E9" s="137"/>
      <c r="F9" s="136" t="s">
        <v>2</v>
      </c>
      <c r="G9" s="137"/>
      <c r="H9" s="136" t="s">
        <v>171</v>
      </c>
      <c r="I9" s="137"/>
      <c r="J9" s="136" t="s">
        <v>26</v>
      </c>
      <c r="K9" s="137"/>
      <c r="L9" s="1"/>
    </row>
    <row r="10" spans="1:12" x14ac:dyDescent="0.25">
      <c r="A10" s="1"/>
      <c r="B10" s="76" t="s">
        <v>238</v>
      </c>
      <c r="C10" s="31">
        <v>0</v>
      </c>
      <c r="D10" s="9">
        <v>0</v>
      </c>
      <c r="E10" s="14" t="s">
        <v>3</v>
      </c>
      <c r="F10" s="57">
        <f>IFERROR(D10/C10,0)</f>
        <v>0</v>
      </c>
      <c r="G10" s="14" t="s">
        <v>3</v>
      </c>
      <c r="H10" s="9">
        <v>0</v>
      </c>
      <c r="I10" s="14" t="s">
        <v>3</v>
      </c>
      <c r="J10" s="9">
        <v>0</v>
      </c>
      <c r="K10" s="14" t="s">
        <v>3</v>
      </c>
      <c r="L10" s="1"/>
    </row>
    <row r="11" spans="1:12" x14ac:dyDescent="0.25">
      <c r="A11" s="1"/>
      <c r="B11" s="53" t="s">
        <v>215</v>
      </c>
      <c r="C11" s="54"/>
      <c r="D11" s="19"/>
      <c r="E11" s="6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jXgha9UmWSc+d84XNzy4te7LUj0vmkr9icUE88JtARi4+81VmSuFf/ZcCE5Pl674sZtsQQA8ZOEXAKYkc3iR9A==" saltValue="OOF+g7DpkEUB7Yr612y6V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178</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70</v>
      </c>
      <c r="C8" s="54"/>
      <c r="D8" s="54"/>
      <c r="E8" s="54"/>
      <c r="F8" s="19"/>
      <c r="G8" s="1"/>
    </row>
    <row r="9" spans="1:7" ht="17.25" customHeight="1" x14ac:dyDescent="0.25">
      <c r="A9" s="1"/>
      <c r="B9" s="74" t="s">
        <v>15</v>
      </c>
      <c r="C9" s="74" t="s">
        <v>10</v>
      </c>
      <c r="D9" s="75"/>
      <c r="E9" s="74"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247</v>
      </c>
      <c r="C11" s="21">
        <v>0</v>
      </c>
      <c r="D11" s="14" t="s">
        <v>3</v>
      </c>
      <c r="E11" s="9">
        <v>172988</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3" t="s">
        <v>151</v>
      </c>
      <c r="C17" s="12">
        <f>SUM(C10:C16)</f>
        <v>0</v>
      </c>
      <c r="D17" s="13" t="s">
        <v>3</v>
      </c>
      <c r="E17" s="12">
        <f>SUM(E10:E16)</f>
        <v>172988</v>
      </c>
      <c r="F17" s="13" t="s">
        <v>3</v>
      </c>
      <c r="G17" s="1"/>
    </row>
    <row r="18" spans="1:7" x14ac:dyDescent="0.25">
      <c r="A18" s="1"/>
      <c r="B18" s="53" t="s">
        <v>209</v>
      </c>
      <c r="C18" s="12">
        <f>C17*(1+'Fane 13. Nøgletal'!C16)</f>
        <v>0</v>
      </c>
      <c r="D18" s="13" t="s">
        <v>3</v>
      </c>
      <c r="E18" s="12">
        <f>E17*(1+'Fane 13. Nøgletal'!C16)</f>
        <v>186965.43039999998</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NNeZ9fYrfPw5OmXV7QSLLSc+Vd8bfj/fSqQmFpPdTywCXq2LMOyuBbIU5bysmWkP5qP++IKm+vXBQGariojOkg==" saltValue="Cm4n/cg11f0E1vi7fN5s6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179</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5" t="s">
        <v>217</v>
      </c>
      <c r="C9" s="106"/>
      <c r="D9" s="106"/>
      <c r="E9" s="106"/>
      <c r="F9" s="107"/>
      <c r="G9" s="1"/>
    </row>
    <row r="10" spans="1:7" ht="26.25" x14ac:dyDescent="0.25">
      <c r="A10" s="1"/>
      <c r="B10" s="74" t="s">
        <v>15</v>
      </c>
      <c r="C10" s="74" t="s">
        <v>10</v>
      </c>
      <c r="D10" s="75"/>
      <c r="E10" s="74" t="s">
        <v>27</v>
      </c>
      <c r="F10" s="30"/>
      <c r="G10" s="1"/>
    </row>
    <row r="11" spans="1:7" x14ac:dyDescent="0.25">
      <c r="A11" s="1"/>
      <c r="B11" s="23" t="s">
        <v>247</v>
      </c>
      <c r="C11" s="21">
        <v>0</v>
      </c>
      <c r="D11" s="14" t="s">
        <v>3</v>
      </c>
      <c r="E11" s="9">
        <v>110000</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3" t="s">
        <v>218</v>
      </c>
      <c r="C14" s="12">
        <f>SUM(C11:C13)</f>
        <v>0</v>
      </c>
      <c r="D14" s="13" t="s">
        <v>3</v>
      </c>
      <c r="E14" s="12">
        <f>SUM(E11:E13)</f>
        <v>110000</v>
      </c>
      <c r="F14" s="13" t="s">
        <v>3</v>
      </c>
      <c r="G14" s="1"/>
    </row>
    <row r="15" spans="1:7" x14ac:dyDescent="0.25">
      <c r="A15" s="1"/>
      <c r="B15" s="53" t="s">
        <v>219</v>
      </c>
      <c r="C15" s="12">
        <f>C14*(1+'Fane 13. Nøgletal'!$C$16)^2</f>
        <v>0</v>
      </c>
      <c r="D15" s="13" t="s">
        <v>3</v>
      </c>
      <c r="E15" s="12">
        <f>E14*(1+'Fane 13. Nøgletal'!$C$16)^2</f>
        <v>128494.1504</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OJA4Ro2YxWpyC+lVu5OFk1uMeEUpTuvFS8D/eV+0tVl0r0bWG9BuVzKDVyvuf4mdvSt+msBxHPGzbuYcdy30Q==" saltValue="cslZzrqSLG2ziqNnDwvj4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180</v>
      </c>
      <c r="C3" s="98"/>
      <c r="D3" s="98"/>
      <c r="E3" s="98"/>
      <c r="F3" s="98"/>
      <c r="G3" s="1"/>
    </row>
    <row r="4" spans="1:7" ht="25.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5" t="s">
        <v>104</v>
      </c>
      <c r="C8" s="106"/>
      <c r="D8" s="106"/>
      <c r="E8" s="106"/>
      <c r="F8" s="107"/>
      <c r="G8" s="1"/>
    </row>
    <row r="9" spans="1:7" ht="15" customHeight="1" x14ac:dyDescent="0.25">
      <c r="A9" s="1"/>
      <c r="B9" s="55" t="s">
        <v>105</v>
      </c>
      <c r="C9" s="130" t="s">
        <v>10</v>
      </c>
      <c r="D9" s="132"/>
      <c r="E9" s="130" t="s">
        <v>27</v>
      </c>
      <c r="F9" s="132"/>
      <c r="G9" s="1"/>
    </row>
    <row r="10" spans="1:7" ht="26.25" x14ac:dyDescent="0.25">
      <c r="A10" s="1"/>
      <c r="B10" s="59"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N1doWNygooyoKMLEkKLdJBzqM/VHJEmLt0y34uKAewUchq+vsYuLsOziCkvc5bLoB8YF9KV+4e/H8zADwGWQ6A==" saltValue="vMx/iwSbCaelb4UayHFLp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181</v>
      </c>
      <c r="C3" s="98"/>
      <c r="D3" s="98"/>
      <c r="E3" s="98"/>
      <c r="F3" s="98"/>
      <c r="G3" s="1"/>
    </row>
    <row r="4" spans="1:7" ht="25.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5" t="s">
        <v>237</v>
      </c>
      <c r="C10" s="106"/>
      <c r="D10" s="106"/>
      <c r="E10" s="106"/>
      <c r="F10" s="107"/>
      <c r="G10" s="1"/>
    </row>
    <row r="11" spans="1:7" ht="26.25" x14ac:dyDescent="0.25">
      <c r="A11" s="1"/>
      <c r="B11" s="55" t="s">
        <v>16</v>
      </c>
      <c r="C11" s="55" t="s">
        <v>10</v>
      </c>
      <c r="D11" s="30"/>
      <c r="E11" s="55" t="s">
        <v>27</v>
      </c>
      <c r="F11" s="30"/>
      <c r="G11" s="1"/>
    </row>
    <row r="12" spans="1:7" x14ac:dyDescent="0.25">
      <c r="A12" s="1"/>
      <c r="B12" s="59" t="s">
        <v>242</v>
      </c>
      <c r="C12" s="9">
        <v>0</v>
      </c>
      <c r="D12" s="14" t="s">
        <v>3</v>
      </c>
      <c r="E12" s="9">
        <v>0</v>
      </c>
      <c r="F12" s="14" t="s">
        <v>3</v>
      </c>
      <c r="G12" s="1"/>
    </row>
    <row r="13" spans="1:7" x14ac:dyDescent="0.25">
      <c r="A13" s="1"/>
      <c r="B13" s="53" t="s">
        <v>78</v>
      </c>
      <c r="C13" s="12">
        <f>SUM(C12:C12)</f>
        <v>0</v>
      </c>
      <c r="D13" s="13" t="s">
        <v>3</v>
      </c>
      <c r="E13" s="12">
        <f>SUM(E12:E12)</f>
        <v>0</v>
      </c>
      <c r="F13" s="13" t="s">
        <v>3</v>
      </c>
      <c r="G13" s="1"/>
    </row>
    <row r="14" spans="1:7" x14ac:dyDescent="0.25">
      <c r="A14" s="1"/>
      <c r="B14" s="53"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9O2oV5V4GPAmppy6Ybb70jNyn3siESYQx3dlHp1dHjnd2PX+/3h0gLDoRMtc3V8eKHCJbp/Ujpa9z9PPOcrqw==" saltValue="BRECy3LHgf/pzFGqtzWmo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8" t="s">
        <v>182</v>
      </c>
      <c r="C3" s="98"/>
      <c r="D3" s="1"/>
    </row>
    <row r="4" spans="1:4" ht="25.5" customHeight="1" x14ac:dyDescent="0.25">
      <c r="A4" s="1"/>
      <c r="B4" s="98"/>
      <c r="C4" s="98"/>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3"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1" t="s">
        <v>207</v>
      </c>
      <c r="C16" s="42">
        <v>8.0799999999999997E-2</v>
      </c>
      <c r="D16" s="1"/>
    </row>
    <row r="17" spans="1:4" x14ac:dyDescent="0.25">
      <c r="A17" s="1"/>
      <c r="B17" s="105"/>
      <c r="C17" s="107"/>
      <c r="D17" s="1"/>
    </row>
    <row r="18" spans="1:4" x14ac:dyDescent="0.25">
      <c r="A18" s="1"/>
      <c r="B18" s="1"/>
      <c r="C18" s="38"/>
      <c r="D18" s="1"/>
    </row>
    <row r="19" spans="1:4" x14ac:dyDescent="0.25">
      <c r="A19" s="1"/>
      <c r="B19" s="1"/>
      <c r="C19" s="38"/>
      <c r="D19" s="1"/>
    </row>
    <row r="20" spans="1:4" x14ac:dyDescent="0.25">
      <c r="A20" s="1"/>
      <c r="B20" s="53"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1" t="s">
        <v>208</v>
      </c>
      <c r="C28" s="42">
        <v>0</v>
      </c>
      <c r="D28" s="1"/>
    </row>
    <row r="29" spans="1:4" x14ac:dyDescent="0.25">
      <c r="A29" s="1"/>
      <c r="B29" s="53"/>
      <c r="C29" s="39"/>
      <c r="D29" s="1"/>
    </row>
    <row r="30" spans="1:4" x14ac:dyDescent="0.25">
      <c r="A30" s="1"/>
      <c r="B30" s="1"/>
      <c r="C30" s="38"/>
      <c r="D30" s="1"/>
    </row>
    <row r="31" spans="1:4" x14ac:dyDescent="0.25">
      <c r="A31" s="1"/>
      <c r="B31" s="1"/>
      <c r="C31" s="38"/>
      <c r="D31" s="1"/>
    </row>
    <row r="32" spans="1:4" x14ac:dyDescent="0.25">
      <c r="A32" s="1"/>
      <c r="B32" s="53" t="s">
        <v>82</v>
      </c>
      <c r="C32" s="39"/>
      <c r="D32" s="1"/>
    </row>
    <row r="33" spans="1:4" x14ac:dyDescent="0.25">
      <c r="A33" s="1"/>
      <c r="B33" s="69" t="s">
        <v>99</v>
      </c>
      <c r="C33" s="40">
        <v>0.02</v>
      </c>
      <c r="D33" s="1"/>
    </row>
    <row r="34" spans="1:4" x14ac:dyDescent="0.25">
      <c r="A34" s="1"/>
      <c r="B34" s="53"/>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2zPzxR/bi+EirjNHAWKGOZmhOaq+vhdepmFam5uaKJFSt19Qy9kKXwX1wlHoJNzgZ3I9jfN5+O7Z5CiQMJ1juw==" saltValue="5/rooVAm0e/gt0PZnkkcl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198</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53" t="s">
        <v>12</v>
      </c>
      <c r="C7" s="54"/>
      <c r="D7" s="19"/>
      <c r="E7" s="1"/>
    </row>
    <row r="8" spans="1:5" x14ac:dyDescent="0.25">
      <c r="A8" s="1"/>
      <c r="B8" s="56" t="s">
        <v>109</v>
      </c>
      <c r="C8" s="7">
        <f>'Fane 3. Omkostninger i ØR2023'!C19</f>
        <v>10042754.974256106</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186965.43039999998</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372628.88385983731</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-121514.91527783083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1" t="s">
        <v>19</v>
      </c>
      <c r="C19" s="10">
        <f>SUM(C8:C18)</f>
        <v>10480834.373238113</v>
      </c>
      <c r="D19" s="11" t="s">
        <v>3</v>
      </c>
      <c r="E19" s="1"/>
    </row>
    <row r="20" spans="1:5" ht="15" customHeight="1" x14ac:dyDescent="0.25">
      <c r="A20" s="1"/>
      <c r="B20" s="53" t="s">
        <v>11</v>
      </c>
      <c r="C20" s="54"/>
      <c r="D20" s="19"/>
      <c r="E20" s="1"/>
    </row>
    <row r="21" spans="1:5" ht="15" customHeight="1" x14ac:dyDescent="0.25">
      <c r="A21" s="1"/>
      <c r="B21" s="55" t="s">
        <v>11</v>
      </c>
      <c r="C21" s="10">
        <f>'Fane 6. Ikke-påvirkelige omk.'!C20</f>
        <v>8643796.8248934392</v>
      </c>
      <c r="D21" s="11" t="s">
        <v>3</v>
      </c>
      <c r="E21" s="1"/>
    </row>
    <row r="22" spans="1:5" ht="15" customHeight="1" x14ac:dyDescent="0.25">
      <c r="A22" s="1"/>
      <c r="B22" s="53" t="s">
        <v>75</v>
      </c>
      <c r="C22" s="54"/>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128494.1504</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1" t="s">
        <v>76</v>
      </c>
      <c r="C27" s="49">
        <f>SUM(C23:C26)</f>
        <v>128494.1504</v>
      </c>
      <c r="D27" s="11" t="s">
        <v>3</v>
      </c>
      <c r="E27" s="1"/>
    </row>
    <row r="28" spans="1:5" ht="15" customHeight="1" x14ac:dyDescent="0.25">
      <c r="A28" s="1"/>
      <c r="B28" s="26" t="s">
        <v>117</v>
      </c>
      <c r="C28" s="54"/>
      <c r="D28" s="19"/>
      <c r="E28" s="1"/>
    </row>
    <row r="29" spans="1:5" x14ac:dyDescent="0.25">
      <c r="A29" s="1"/>
      <c r="B29" s="70" t="s">
        <v>118</v>
      </c>
      <c r="C29" s="10">
        <f>'Fane 7. Kontrol af ØR2022'!E27</f>
        <v>-553577.07699966803</v>
      </c>
      <c r="D29" s="11" t="s">
        <v>3</v>
      </c>
      <c r="E29" s="1"/>
    </row>
    <row r="30" spans="1:5" x14ac:dyDescent="0.25">
      <c r="A30" s="1"/>
      <c r="B30" s="26" t="s">
        <v>138</v>
      </c>
      <c r="C30" s="54"/>
      <c r="D30" s="19"/>
      <c r="E30" s="1"/>
    </row>
    <row r="31" spans="1:5" x14ac:dyDescent="0.25">
      <c r="A31" s="1"/>
      <c r="B31" s="70" t="s">
        <v>139</v>
      </c>
      <c r="C31" s="10">
        <f>'Fane 8. Skattesagen'!G13</f>
        <v>0</v>
      </c>
      <c r="D31" s="11" t="s">
        <v>3</v>
      </c>
      <c r="E31" s="1"/>
    </row>
    <row r="32" spans="1:5" x14ac:dyDescent="0.25">
      <c r="A32" s="1"/>
      <c r="B32" s="53" t="s">
        <v>126</v>
      </c>
      <c r="C32" s="33">
        <f>SUM(C19,C21,C27,C29,C31)</f>
        <v>18699548.271531887</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Ui/vNpIPFGSu4zr1u0Xf6ALvcs9s+4dKDeFh2lnBppbE5Nm5tdpfJhtFP2ewSRFyk8RmYquyOO46a/Dy4XTQ==" saltValue="zcssx5cqXh6lGPJJXvovD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199</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3" t="s">
        <v>12</v>
      </c>
      <c r="C7" s="54"/>
      <c r="D7" s="19"/>
      <c r="E7" s="1"/>
    </row>
    <row r="8" spans="1:5" ht="15" customHeight="1" x14ac:dyDescent="0.25">
      <c r="A8" s="1"/>
      <c r="B8" s="56" t="s">
        <v>127</v>
      </c>
      <c r="C8" s="7">
        <f>'Fane 2.1. Økonomisk ramme 2024'!C19</f>
        <v>10480834.373238113</v>
      </c>
      <c r="D8" s="8" t="s">
        <v>3</v>
      </c>
      <c r="E8" s="1"/>
    </row>
    <row r="9" spans="1:5" ht="15" customHeight="1" x14ac:dyDescent="0.25">
      <c r="A9" s="1"/>
      <c r="B9" s="29" t="s">
        <v>17</v>
      </c>
      <c r="C9" s="9">
        <f>SUM(C8:C8)*'Fane 13. Nøgletal'!C16</f>
        <v>846851.41735763953</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-128706.65402363395</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11198979.136572119</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f>
        <v>9342215.6083448287</v>
      </c>
      <c r="D15" s="11" t="s">
        <v>3</v>
      </c>
      <c r="E15" s="1"/>
    </row>
    <row r="16" spans="1:5" x14ac:dyDescent="0.25">
      <c r="A16" s="1"/>
      <c r="B16" s="26" t="s">
        <v>117</v>
      </c>
      <c r="C16" s="54"/>
      <c r="D16" s="19"/>
      <c r="E16" s="1"/>
    </row>
    <row r="17" spans="1:5" ht="15" customHeight="1" x14ac:dyDescent="0.25">
      <c r="A17" s="1"/>
      <c r="B17" s="70" t="s">
        <v>118</v>
      </c>
      <c r="C17" s="10">
        <f>'Fane 7. Kontrol af ØR2022'!E31</f>
        <v>0</v>
      </c>
      <c r="D17" s="11" t="s">
        <v>3</v>
      </c>
      <c r="E17" s="1"/>
    </row>
    <row r="18" spans="1:5" x14ac:dyDescent="0.25">
      <c r="A18" s="1"/>
      <c r="B18" s="26" t="s">
        <v>138</v>
      </c>
      <c r="C18" s="54"/>
      <c r="D18" s="19"/>
      <c r="E18" s="1"/>
    </row>
    <row r="19" spans="1:5" x14ac:dyDescent="0.25">
      <c r="A19" s="1"/>
      <c r="B19" s="70" t="s">
        <v>139</v>
      </c>
      <c r="C19" s="10">
        <f>'Fane 8. Skattesagen'!G13</f>
        <v>0</v>
      </c>
      <c r="D19" s="11" t="s">
        <v>3</v>
      </c>
      <c r="E19" s="1"/>
    </row>
    <row r="20" spans="1:5" x14ac:dyDescent="0.25">
      <c r="A20" s="1"/>
      <c r="B20" s="53" t="s">
        <v>128</v>
      </c>
      <c r="C20" s="12">
        <f>SUM(C13,C15,C17,C19)</f>
        <v>20541194.744916946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GqFtqt9PVQj3PJZ8j9SH6ud2vy7jV7qWdAi7OEOu3UAt8HSGpbGo+PS684gXJmR4elzPk8whB+koTr96T9jDg==" saltValue="SduItsoDGmkpHNwIOAgwg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200</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3" t="s">
        <v>12</v>
      </c>
      <c r="C7" s="54"/>
      <c r="D7" s="19"/>
      <c r="E7" s="1"/>
    </row>
    <row r="8" spans="1:5" ht="15" customHeight="1" x14ac:dyDescent="0.25">
      <c r="A8" s="1"/>
      <c r="B8" s="56" t="s">
        <v>142</v>
      </c>
      <c r="C8" s="7">
        <f>'Fane 2.2. Økonomisk ramme 2025'!C13</f>
        <v>11198979.136572119</v>
      </c>
      <c r="D8" s="8" t="s">
        <v>3</v>
      </c>
      <c r="E8" s="1"/>
    </row>
    <row r="9" spans="1:5" ht="15" customHeight="1" x14ac:dyDescent="0.25">
      <c r="A9" s="1"/>
      <c r="B9" s="29" t="s">
        <v>17</v>
      </c>
      <c r="C9" s="9">
        <f>SUM(C8:C8)*'Fane 13. Nøgletal'!C16</f>
        <v>904877.51423502713</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-136324.02863536871</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11967532.622171776</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Nøgletal'!C16)^2</f>
        <v>10097066.629499091</v>
      </c>
      <c r="D15" s="11" t="s">
        <v>3</v>
      </c>
      <c r="E15" s="1"/>
    </row>
    <row r="16" spans="1:5" x14ac:dyDescent="0.25">
      <c r="A16" s="1"/>
      <c r="B16" s="53" t="s">
        <v>117</v>
      </c>
      <c r="C16" s="54"/>
      <c r="D16" s="19"/>
      <c r="E16" s="1"/>
    </row>
    <row r="17" spans="1:5" x14ac:dyDescent="0.25">
      <c r="A17" s="1"/>
      <c r="B17" s="55" t="s">
        <v>118</v>
      </c>
      <c r="C17" s="10">
        <f>'Fane 7. Kontrol af ØR2022'!E33</f>
        <v>0</v>
      </c>
      <c r="D17" s="11" t="s">
        <v>3</v>
      </c>
      <c r="E17" s="1"/>
    </row>
    <row r="18" spans="1:5" ht="15" customHeight="1" x14ac:dyDescent="0.25">
      <c r="A18" s="1"/>
      <c r="B18" s="26" t="s">
        <v>138</v>
      </c>
      <c r="C18" s="54"/>
      <c r="D18" s="19"/>
      <c r="E18" s="1"/>
    </row>
    <row r="19" spans="1:5" ht="15" customHeight="1" x14ac:dyDescent="0.25">
      <c r="A19" s="1"/>
      <c r="B19" s="70" t="s">
        <v>139</v>
      </c>
      <c r="C19" s="10">
        <f>'Fane 8. Skattesagen'!G14</f>
        <v>0</v>
      </c>
      <c r="D19" s="11" t="s">
        <v>3</v>
      </c>
      <c r="E19" s="1"/>
    </row>
    <row r="20" spans="1:5" x14ac:dyDescent="0.25">
      <c r="A20" s="1"/>
      <c r="B20" s="53" t="s">
        <v>143</v>
      </c>
      <c r="C20" s="12">
        <f>SUM(C13,C15,C17,C19)</f>
        <v>22064599.251670867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Ww33cuOR9ifbxR+ZnACcnVOP4QrjJ+sxpmAsSmPxMVu+Dzv3l2qhj1DpRnyw6d5RRCsxk/NtfIc8s83FIeOLw==" saltValue="jex9/BnEHH9OlNazQ47yg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204</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3" t="s">
        <v>12</v>
      </c>
      <c r="C7" s="54"/>
      <c r="D7" s="19"/>
      <c r="E7" s="1"/>
    </row>
    <row r="8" spans="1:5" ht="15" customHeight="1" x14ac:dyDescent="0.25">
      <c r="A8" s="1"/>
      <c r="B8" s="56" t="s">
        <v>203</v>
      </c>
      <c r="C8" s="7">
        <f>'Fane 2.3. Økonomisk ramme 2026'!C13</f>
        <v>11967532.622171776</v>
      </c>
      <c r="D8" s="8" t="s">
        <v>3</v>
      </c>
      <c r="E8" s="1"/>
    </row>
    <row r="9" spans="1:5" ht="15" customHeight="1" x14ac:dyDescent="0.25">
      <c r="A9" s="1"/>
      <c r="B9" s="29" t="s">
        <v>17</v>
      </c>
      <c r="C9" s="9">
        <f>SUM(C8:C8)*'Fane 13. Nøgletal'!C16</f>
        <v>966976.63587147952</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-144392.22994612437</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12790117.02809713</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Nøgletal'!C16)^3</f>
        <v>10912909.613162616</v>
      </c>
      <c r="D15" s="11" t="s">
        <v>3</v>
      </c>
      <c r="E15" s="1"/>
    </row>
    <row r="16" spans="1:5" x14ac:dyDescent="0.25">
      <c r="A16" s="1"/>
      <c r="B16" s="53" t="s">
        <v>117</v>
      </c>
      <c r="C16" s="54"/>
      <c r="D16" s="19"/>
      <c r="E16" s="1"/>
    </row>
    <row r="17" spans="1:5" x14ac:dyDescent="0.25">
      <c r="A17" s="1"/>
      <c r="B17" s="55" t="s">
        <v>118</v>
      </c>
      <c r="C17" s="10">
        <v>0</v>
      </c>
      <c r="D17" s="11" t="s">
        <v>3</v>
      </c>
      <c r="E17" s="1"/>
    </row>
    <row r="18" spans="1:5" x14ac:dyDescent="0.25">
      <c r="A18" s="1"/>
      <c r="B18" s="26" t="s">
        <v>138</v>
      </c>
      <c r="C18" s="54"/>
      <c r="D18" s="19"/>
      <c r="E18" s="1"/>
    </row>
    <row r="19" spans="1:5" x14ac:dyDescent="0.25">
      <c r="A19" s="1"/>
      <c r="B19" s="70" t="s">
        <v>139</v>
      </c>
      <c r="C19" s="10">
        <f>'Fane 8. Skattesagen'!G15</f>
        <v>0</v>
      </c>
      <c r="D19" s="11" t="s">
        <v>3</v>
      </c>
      <c r="E19" s="1"/>
    </row>
    <row r="20" spans="1:5" x14ac:dyDescent="0.25">
      <c r="A20" s="1"/>
      <c r="B20" s="53" t="s">
        <v>205</v>
      </c>
      <c r="C20" s="12">
        <f>SUM(C13,C15,C17,C19)</f>
        <v>23703026.641259745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EC20rsPpiPWBzc/zcjWrtQqG2HbyavSH1c51Huol8HA421UN3PesFARHAIWIg5T0HleXZfcy7hIxyJAIGrtNA==" saltValue="KoiCkD7cF/G4Z8uVRvZ2k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8" t="s">
        <v>201</v>
      </c>
      <c r="C3" s="98"/>
      <c r="D3" s="98"/>
      <c r="E3" s="1"/>
    </row>
    <row r="4" spans="1:5"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3" t="s">
        <v>202</v>
      </c>
      <c r="C7" s="54"/>
      <c r="D7" s="19"/>
      <c r="E7" s="1"/>
    </row>
    <row r="8" spans="1:5" x14ac:dyDescent="0.25">
      <c r="A8" s="1"/>
      <c r="B8" s="56" t="s">
        <v>108</v>
      </c>
      <c r="C8" s="7">
        <v>9654377.9241943248</v>
      </c>
      <c r="D8" s="8" t="s">
        <v>3</v>
      </c>
      <c r="E8" s="1"/>
    </row>
    <row r="9" spans="1:5" x14ac:dyDescent="0.25">
      <c r="A9" s="1"/>
      <c r="B9" s="24" t="s">
        <v>33</v>
      </c>
      <c r="C9" s="7">
        <v>0</v>
      </c>
      <c r="D9" s="8" t="s">
        <v>3</v>
      </c>
      <c r="E9" s="1"/>
    </row>
    <row r="10" spans="1:5" x14ac:dyDescent="0.25">
      <c r="A10" s="1"/>
      <c r="B10" s="24" t="s">
        <v>34</v>
      </c>
      <c r="C10" s="9">
        <v>158761.62240000002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349347.76785875799</v>
      </c>
      <c r="D15" s="8" t="s">
        <v>3</v>
      </c>
      <c r="E15" s="1"/>
    </row>
    <row r="16" spans="1:5" x14ac:dyDescent="0.25">
      <c r="A16" s="1"/>
      <c r="B16" s="24" t="s">
        <v>9</v>
      </c>
      <c r="C16" s="9">
        <v>0</v>
      </c>
      <c r="D16" s="8" t="s">
        <v>3</v>
      </c>
      <c r="E16" s="1"/>
    </row>
    <row r="17" spans="1:5" x14ac:dyDescent="0.25">
      <c r="A17" s="1"/>
      <c r="B17" s="24" t="s">
        <v>22</v>
      </c>
      <c r="C17" s="9">
        <v>-119732.34019697821</v>
      </c>
      <c r="D17" s="8" t="s">
        <v>3</v>
      </c>
      <c r="E17" s="1"/>
    </row>
    <row r="18" spans="1:5" x14ac:dyDescent="0.25">
      <c r="A18" s="1"/>
      <c r="B18" s="24" t="s">
        <v>23</v>
      </c>
      <c r="C18" s="9">
        <v>0</v>
      </c>
      <c r="D18" s="8" t="s">
        <v>3</v>
      </c>
      <c r="E18" s="1"/>
    </row>
    <row r="19" spans="1:5" x14ac:dyDescent="0.25">
      <c r="A19" s="1"/>
      <c r="B19" s="71" t="s">
        <v>19</v>
      </c>
      <c r="C19" s="10">
        <v>10042754.974256106</v>
      </c>
      <c r="D19" s="11" t="s">
        <v>3</v>
      </c>
      <c r="E19" s="1"/>
    </row>
    <row r="20" spans="1:5" x14ac:dyDescent="0.25">
      <c r="A20" s="1"/>
      <c r="B20" s="53" t="s">
        <v>11</v>
      </c>
      <c r="C20" s="54"/>
      <c r="D20" s="19"/>
      <c r="E20" s="1"/>
    </row>
    <row r="21" spans="1:5" x14ac:dyDescent="0.25">
      <c r="A21" s="1"/>
      <c r="B21" s="55" t="s">
        <v>11</v>
      </c>
      <c r="C21" s="10">
        <v>8341683.6754643759</v>
      </c>
      <c r="D21" s="11" t="s">
        <v>3</v>
      </c>
      <c r="E21" s="1"/>
    </row>
    <row r="22" spans="1:5" x14ac:dyDescent="0.25">
      <c r="A22" s="1"/>
      <c r="B22" s="53" t="s">
        <v>75</v>
      </c>
      <c r="C22" s="54"/>
      <c r="D22" s="19"/>
      <c r="E22" s="1"/>
    </row>
    <row r="23" spans="1:5" x14ac:dyDescent="0.25">
      <c r="A23" s="1"/>
      <c r="B23" s="24" t="s">
        <v>71</v>
      </c>
      <c r="C23" s="9">
        <v>7984.5194952000011</v>
      </c>
      <c r="D23" s="8" t="s">
        <v>3</v>
      </c>
      <c r="E23" s="1"/>
    </row>
    <row r="24" spans="1:5" x14ac:dyDescent="0.25">
      <c r="A24" s="1"/>
      <c r="B24" s="24" t="s">
        <v>72</v>
      </c>
      <c r="C24" s="9">
        <v>0</v>
      </c>
      <c r="D24" s="8" t="s">
        <v>3</v>
      </c>
      <c r="E24" s="1"/>
    </row>
    <row r="25" spans="1:5" x14ac:dyDescent="0.25">
      <c r="A25" s="1"/>
      <c r="B25" s="24" t="s">
        <v>164</v>
      </c>
      <c r="C25" s="9">
        <v>-159.69038990400003</v>
      </c>
      <c r="D25" s="8" t="s">
        <v>3</v>
      </c>
      <c r="E25" s="1"/>
    </row>
    <row r="26" spans="1:5" x14ac:dyDescent="0.25">
      <c r="A26" s="1"/>
      <c r="B26" s="24" t="s">
        <v>165</v>
      </c>
      <c r="C26" s="9">
        <v>0</v>
      </c>
      <c r="D26" s="8" t="s">
        <v>3</v>
      </c>
      <c r="E26" s="1"/>
    </row>
    <row r="27" spans="1:5" x14ac:dyDescent="0.25">
      <c r="A27" s="1"/>
      <c r="B27" s="71" t="s">
        <v>76</v>
      </c>
      <c r="C27" s="58">
        <v>7824.8291052960012</v>
      </c>
      <c r="D27" s="11" t="s">
        <v>3</v>
      </c>
      <c r="E27" s="1"/>
    </row>
    <row r="28" spans="1:5" x14ac:dyDescent="0.25">
      <c r="A28" s="1"/>
      <c r="B28" s="26" t="s">
        <v>117</v>
      </c>
      <c r="C28" s="54"/>
      <c r="D28" s="19"/>
      <c r="E28" s="1"/>
    </row>
    <row r="29" spans="1:5" x14ac:dyDescent="0.25">
      <c r="A29" s="1"/>
      <c r="B29" s="70" t="s">
        <v>118</v>
      </c>
      <c r="C29" s="10">
        <v>-919547.58254200593</v>
      </c>
      <c r="D29" s="11" t="s">
        <v>3</v>
      </c>
      <c r="E29" s="1"/>
    </row>
    <row r="30" spans="1:5" x14ac:dyDescent="0.25">
      <c r="A30" s="1"/>
      <c r="B30" s="26" t="s">
        <v>138</v>
      </c>
      <c r="C30" s="54"/>
      <c r="D30" s="19"/>
      <c r="E30" s="1"/>
    </row>
    <row r="31" spans="1:5" x14ac:dyDescent="0.25">
      <c r="A31" s="1"/>
      <c r="B31" s="70" t="s">
        <v>139</v>
      </c>
      <c r="C31" s="10">
        <v>0</v>
      </c>
      <c r="D31" s="11" t="s">
        <v>3</v>
      </c>
      <c r="E31" s="1"/>
    </row>
    <row r="32" spans="1:5" x14ac:dyDescent="0.25">
      <c r="A32" s="1"/>
      <c r="B32" s="53" t="s">
        <v>239</v>
      </c>
      <c r="C32" s="33">
        <v>17472715.896283772</v>
      </c>
      <c r="D32" s="19" t="s">
        <v>3</v>
      </c>
      <c r="E32" s="1"/>
    </row>
    <row r="33" spans="1:5" ht="30" customHeight="1" x14ac:dyDescent="0.25">
      <c r="A33" s="1"/>
      <c r="B33" s="97" t="s">
        <v>240</v>
      </c>
      <c r="C33" s="97"/>
      <c r="D33" s="97"/>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MeoA1WGJzFrXFqYdqiJx2a/to+tcxLimUbwnliQCBrVmeVsQsfJYVJhUp7+4CVMJNSbVx9xJwY1VdprZ/5wOg==" saltValue="8rZZz+403Oek/QtUV/Skv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8" t="s">
        <v>90</v>
      </c>
      <c r="C1" s="98"/>
      <c r="D1" s="98"/>
      <c r="E1" s="98"/>
      <c r="F1" s="98"/>
      <c r="G1" s="98"/>
      <c r="H1" s="98"/>
      <c r="I1" s="1"/>
    </row>
    <row r="2" spans="1:9" ht="15" customHeight="1" x14ac:dyDescent="0.25">
      <c r="A2" s="1"/>
      <c r="B2" s="98"/>
      <c r="C2" s="98"/>
      <c r="D2" s="98"/>
      <c r="E2" s="98"/>
      <c r="F2" s="98"/>
      <c r="G2" s="98"/>
      <c r="H2" s="98"/>
      <c r="I2" s="1"/>
    </row>
    <row r="3" spans="1:9" ht="15" customHeight="1" x14ac:dyDescent="0.25">
      <c r="A3" s="1"/>
      <c r="B3" s="98"/>
      <c r="C3" s="98"/>
      <c r="D3" s="98"/>
      <c r="E3" s="98"/>
      <c r="F3" s="98"/>
      <c r="G3" s="98"/>
      <c r="H3" s="98"/>
      <c r="I3" s="1"/>
    </row>
    <row r="4" spans="1:9" x14ac:dyDescent="0.25">
      <c r="A4" s="1"/>
      <c r="B4" s="105" t="s">
        <v>44</v>
      </c>
      <c r="C4" s="106"/>
      <c r="D4" s="106"/>
      <c r="E4" s="106"/>
      <c r="F4" s="106"/>
      <c r="G4" s="106"/>
      <c r="H4" s="107"/>
      <c r="I4" s="1"/>
    </row>
    <row r="5" spans="1:9" x14ac:dyDescent="0.25">
      <c r="A5" s="1"/>
      <c r="B5" s="99" t="s">
        <v>36</v>
      </c>
      <c r="C5" s="100"/>
      <c r="D5" s="100"/>
      <c r="E5" s="100"/>
      <c r="F5" s="101"/>
      <c r="G5" s="47">
        <v>5943631.9024709687</v>
      </c>
      <c r="H5" s="14" t="s">
        <v>3</v>
      </c>
      <c r="I5" s="1"/>
    </row>
    <row r="6" spans="1:9" x14ac:dyDescent="0.25">
      <c r="A6" s="1"/>
      <c r="B6" s="99" t="s">
        <v>37</v>
      </c>
      <c r="C6" s="100"/>
      <c r="D6" s="100"/>
      <c r="E6" s="100"/>
      <c r="F6" s="101"/>
      <c r="G6" s="22">
        <f>G5*'Fane 13. Nøgletal'!C33</f>
        <v>118872.63804941937</v>
      </c>
      <c r="H6" s="14" t="s">
        <v>3</v>
      </c>
      <c r="I6" s="1"/>
    </row>
    <row r="7" spans="1:9" x14ac:dyDescent="0.25">
      <c r="A7" s="1"/>
      <c r="B7" s="53"/>
      <c r="C7" s="54"/>
      <c r="D7" s="54"/>
      <c r="E7" s="54"/>
      <c r="F7" s="54"/>
      <c r="G7" s="35"/>
      <c r="H7" s="19"/>
      <c r="I7" s="1"/>
    </row>
    <row r="8" spans="1:9" x14ac:dyDescent="0.25">
      <c r="A8" s="1"/>
      <c r="B8" s="1"/>
      <c r="C8" s="1"/>
      <c r="D8" s="1"/>
      <c r="E8" s="1"/>
      <c r="F8" s="1"/>
      <c r="G8" s="36"/>
      <c r="H8" s="1"/>
      <c r="I8" s="1"/>
    </row>
    <row r="9" spans="1:9" x14ac:dyDescent="0.25">
      <c r="A9" s="1"/>
      <c r="B9" s="105" t="s">
        <v>45</v>
      </c>
      <c r="C9" s="106"/>
      <c r="D9" s="106"/>
      <c r="E9" s="106"/>
      <c r="F9" s="106"/>
      <c r="G9" s="106"/>
      <c r="H9" s="107"/>
      <c r="I9" s="1"/>
    </row>
    <row r="10" spans="1:9" x14ac:dyDescent="0.25">
      <c r="A10" s="1"/>
      <c r="B10" s="99" t="s">
        <v>38</v>
      </c>
      <c r="C10" s="100"/>
      <c r="D10" s="100"/>
      <c r="E10" s="100"/>
      <c r="F10" s="101"/>
      <c r="G10" s="22">
        <f>(G5-G6)*(1+'Fane 13. Nøgletal'!C9)</f>
        <v>5898733.707079703</v>
      </c>
      <c r="H10" s="14" t="s">
        <v>3</v>
      </c>
      <c r="I10" s="1"/>
    </row>
    <row r="11" spans="1:9" x14ac:dyDescent="0.25">
      <c r="A11" s="1"/>
      <c r="B11" s="102" t="s">
        <v>228</v>
      </c>
      <c r="C11" s="103"/>
      <c r="D11" s="103"/>
      <c r="E11" s="103"/>
      <c r="F11" s="104"/>
      <c r="G11" s="47">
        <v>0</v>
      </c>
      <c r="H11" s="14" t="s">
        <v>3</v>
      </c>
      <c r="I11" s="1"/>
    </row>
    <row r="12" spans="1:9" x14ac:dyDescent="0.25">
      <c r="A12" s="1"/>
      <c r="B12" s="99" t="s">
        <v>39</v>
      </c>
      <c r="C12" s="100"/>
      <c r="D12" s="100"/>
      <c r="E12" s="100"/>
      <c r="F12" s="101"/>
      <c r="G12" s="22">
        <f>(G10+G11)*'Fane 13. Nøgletal'!C33</f>
        <v>117974.67414159406</v>
      </c>
      <c r="H12" s="14" t="s">
        <v>3</v>
      </c>
      <c r="I12" s="1"/>
    </row>
    <row r="13" spans="1:9" x14ac:dyDescent="0.25">
      <c r="A13" s="1"/>
      <c r="B13" s="53"/>
      <c r="C13" s="54"/>
      <c r="D13" s="54"/>
      <c r="E13" s="54"/>
      <c r="F13" s="54"/>
      <c r="G13" s="35"/>
      <c r="H13" s="19"/>
      <c r="I13" s="1"/>
    </row>
    <row r="14" spans="1:9" x14ac:dyDescent="0.25">
      <c r="A14" s="1"/>
      <c r="B14" s="1"/>
      <c r="C14" s="1"/>
      <c r="D14" s="1"/>
      <c r="E14" s="1"/>
      <c r="F14" s="1"/>
      <c r="G14" s="36"/>
      <c r="H14" s="1"/>
      <c r="I14" s="1"/>
    </row>
    <row r="15" spans="1:9" x14ac:dyDescent="0.25">
      <c r="A15" s="1"/>
      <c r="B15" s="105" t="s">
        <v>46</v>
      </c>
      <c r="C15" s="106"/>
      <c r="D15" s="106"/>
      <c r="E15" s="106"/>
      <c r="F15" s="106"/>
      <c r="G15" s="106"/>
      <c r="H15" s="107"/>
      <c r="I15" s="1"/>
    </row>
    <row r="16" spans="1:9" x14ac:dyDescent="0.25">
      <c r="A16" s="1"/>
      <c r="B16" s="99" t="s">
        <v>40</v>
      </c>
      <c r="C16" s="100"/>
      <c r="D16" s="100"/>
      <c r="E16" s="100"/>
      <c r="F16" s="101"/>
      <c r="G16" s="22">
        <f>(G10+G11-G12)*(1+'Fane 13. Nøgletal'!C11)</f>
        <v>5878453.8605947625</v>
      </c>
      <c r="H16" s="14" t="s">
        <v>3</v>
      </c>
      <c r="I16" s="1"/>
    </row>
    <row r="17" spans="1:9" x14ac:dyDescent="0.25">
      <c r="A17" s="1"/>
      <c r="B17" s="99" t="s">
        <v>100</v>
      </c>
      <c r="C17" s="100"/>
      <c r="D17" s="100"/>
      <c r="E17" s="100"/>
      <c r="F17" s="101"/>
      <c r="G17" s="47">
        <v>8830.9841435838007</v>
      </c>
      <c r="H17" s="14" t="s">
        <v>3</v>
      </c>
      <c r="I17" s="1"/>
    </row>
    <row r="18" spans="1:9" x14ac:dyDescent="0.25">
      <c r="A18" s="1"/>
      <c r="B18" s="102" t="s">
        <v>229</v>
      </c>
      <c r="C18" s="103"/>
      <c r="D18" s="103"/>
      <c r="E18" s="103"/>
      <c r="F18" s="104"/>
      <c r="G18" s="47">
        <v>0</v>
      </c>
      <c r="H18" s="14" t="s">
        <v>3</v>
      </c>
      <c r="I18" s="1"/>
    </row>
    <row r="19" spans="1:9" x14ac:dyDescent="0.25">
      <c r="A19" s="1"/>
      <c r="B19" s="99" t="s">
        <v>41</v>
      </c>
      <c r="C19" s="100"/>
      <c r="D19" s="100"/>
      <c r="E19" s="100"/>
      <c r="F19" s="101"/>
      <c r="G19" s="22">
        <f>SUM(G16:G18)*'Fane 13. Nøgletal'!C33</f>
        <v>117745.69689476694</v>
      </c>
      <c r="H19" s="14" t="s">
        <v>3</v>
      </c>
      <c r="I19" s="1"/>
    </row>
    <row r="20" spans="1:9" x14ac:dyDescent="0.25">
      <c r="A20" s="1"/>
      <c r="B20" s="53"/>
      <c r="C20" s="54"/>
      <c r="D20" s="54"/>
      <c r="E20" s="54"/>
      <c r="F20" s="54"/>
      <c r="G20" s="35"/>
      <c r="H20" s="19"/>
      <c r="I20" s="1"/>
    </row>
    <row r="21" spans="1:9" x14ac:dyDescent="0.25">
      <c r="A21" s="1"/>
      <c r="B21" s="1"/>
      <c r="C21" s="1"/>
      <c r="D21" s="1"/>
      <c r="E21" s="1"/>
      <c r="F21" s="1"/>
      <c r="G21" s="36"/>
      <c r="H21" s="1"/>
      <c r="I21" s="1"/>
    </row>
    <row r="22" spans="1:9" x14ac:dyDescent="0.25">
      <c r="A22" s="1"/>
      <c r="B22" s="105" t="s">
        <v>47</v>
      </c>
      <c r="C22" s="106"/>
      <c r="D22" s="106"/>
      <c r="E22" s="106"/>
      <c r="F22" s="106"/>
      <c r="G22" s="106"/>
      <c r="H22" s="107"/>
      <c r="I22" s="1"/>
    </row>
    <row r="23" spans="1:9" x14ac:dyDescent="0.25">
      <c r="A23" s="1"/>
      <c r="B23" s="99" t="s">
        <v>42</v>
      </c>
      <c r="C23" s="100"/>
      <c r="D23" s="100"/>
      <c r="E23" s="100"/>
      <c r="F23" s="101"/>
      <c r="G23" s="22">
        <f>(SUM(G16:G18)-G19)*(1+'Fane 13. Nøgletal'!C11)</f>
        <v>5867044.3594421353</v>
      </c>
      <c r="H23" s="14" t="s">
        <v>3</v>
      </c>
      <c r="I23" s="1"/>
    </row>
    <row r="24" spans="1:9" x14ac:dyDescent="0.25">
      <c r="A24" s="1"/>
      <c r="B24" s="102" t="s">
        <v>230</v>
      </c>
      <c r="C24" s="103"/>
      <c r="D24" s="103"/>
      <c r="E24" s="103"/>
      <c r="F24" s="104"/>
      <c r="G24" s="47">
        <v>127808.67244662001</v>
      </c>
      <c r="H24" s="14" t="s">
        <v>3</v>
      </c>
      <c r="I24" s="1"/>
    </row>
    <row r="25" spans="1:9" x14ac:dyDescent="0.25">
      <c r="A25" s="1"/>
      <c r="B25" s="99" t="s">
        <v>43</v>
      </c>
      <c r="C25" s="100"/>
      <c r="D25" s="100"/>
      <c r="E25" s="100"/>
      <c r="F25" s="101"/>
      <c r="G25" s="22">
        <f>(G23+G24)*'Fane 13. Nøgletal'!C33</f>
        <v>119897.06063777511</v>
      </c>
      <c r="H25" s="14" t="s">
        <v>3</v>
      </c>
      <c r="I25" s="1"/>
    </row>
    <row r="26" spans="1:9" x14ac:dyDescent="0.25">
      <c r="A26" s="1"/>
      <c r="B26" s="53"/>
      <c r="C26" s="54"/>
      <c r="D26" s="54"/>
      <c r="E26" s="54"/>
      <c r="F26" s="54"/>
      <c r="G26" s="35"/>
      <c r="H26" s="19"/>
      <c r="I26" s="1"/>
    </row>
    <row r="27" spans="1:9" x14ac:dyDescent="0.25">
      <c r="A27" s="1"/>
      <c r="B27" s="1"/>
      <c r="C27" s="1"/>
      <c r="D27" s="1"/>
      <c r="E27" s="1"/>
      <c r="F27" s="1"/>
      <c r="G27" s="36"/>
      <c r="H27" s="1"/>
      <c r="I27" s="1"/>
    </row>
    <row r="28" spans="1:9" x14ac:dyDescent="0.25">
      <c r="A28" s="1"/>
      <c r="B28" s="105" t="s">
        <v>121</v>
      </c>
      <c r="C28" s="106"/>
      <c r="D28" s="106"/>
      <c r="E28" s="106"/>
      <c r="F28" s="106"/>
      <c r="G28" s="106"/>
      <c r="H28" s="107"/>
      <c r="I28" s="1"/>
    </row>
    <row r="29" spans="1:9" x14ac:dyDescent="0.25">
      <c r="A29" s="1"/>
      <c r="B29" s="99" t="s">
        <v>50</v>
      </c>
      <c r="C29" s="100"/>
      <c r="D29" s="100"/>
      <c r="E29" s="100"/>
      <c r="F29" s="101"/>
      <c r="G29" s="22">
        <f>(G23+G24-G25)*(1+'Fane 13. Nøgletal'!C13)</f>
        <v>5946630.4341002423</v>
      </c>
      <c r="H29" s="14" t="s">
        <v>3</v>
      </c>
      <c r="I29" s="1"/>
    </row>
    <row r="30" spans="1:9" x14ac:dyDescent="0.25">
      <c r="A30" s="1"/>
      <c r="B30" s="99" t="s">
        <v>231</v>
      </c>
      <c r="C30" s="100"/>
      <c r="D30" s="100"/>
      <c r="E30" s="100"/>
      <c r="F30" s="101"/>
      <c r="G30" s="47">
        <v>0</v>
      </c>
      <c r="H30" s="14" t="s">
        <v>3</v>
      </c>
      <c r="I30" s="1"/>
    </row>
    <row r="31" spans="1:9" x14ac:dyDescent="0.25">
      <c r="A31" s="1"/>
      <c r="B31" s="99" t="s">
        <v>115</v>
      </c>
      <c r="C31" s="100"/>
      <c r="D31" s="100"/>
      <c r="E31" s="100"/>
      <c r="F31" s="101"/>
      <c r="G31" s="22">
        <f>(G29+G30)*'Fane 13. Nøgletal'!C33</f>
        <v>118932.60868200485</v>
      </c>
      <c r="H31" s="14" t="s">
        <v>3</v>
      </c>
      <c r="I31" s="1"/>
    </row>
    <row r="32" spans="1:9" x14ac:dyDescent="0.25">
      <c r="A32" s="1"/>
      <c r="B32" s="53"/>
      <c r="C32" s="54"/>
      <c r="D32" s="54"/>
      <c r="E32" s="54"/>
      <c r="F32" s="54"/>
      <c r="G32" s="35"/>
      <c r="H32" s="19"/>
      <c r="I32" s="1"/>
    </row>
    <row r="33" spans="1:9" x14ac:dyDescent="0.25">
      <c r="A33" s="1"/>
      <c r="B33" s="1"/>
      <c r="C33" s="1"/>
      <c r="D33" s="1"/>
      <c r="E33" s="1"/>
      <c r="F33" s="1"/>
      <c r="G33" s="36"/>
      <c r="H33" s="1"/>
      <c r="I33" s="1"/>
    </row>
    <row r="34" spans="1:9" x14ac:dyDescent="0.25">
      <c r="A34" s="1"/>
      <c r="B34" s="105" t="s">
        <v>122</v>
      </c>
      <c r="C34" s="106"/>
      <c r="D34" s="106"/>
      <c r="E34" s="106"/>
      <c r="F34" s="106"/>
      <c r="G34" s="106"/>
      <c r="H34" s="107"/>
      <c r="I34" s="1"/>
    </row>
    <row r="35" spans="1:9" x14ac:dyDescent="0.25">
      <c r="A35" s="1"/>
      <c r="B35" s="99" t="s">
        <v>69</v>
      </c>
      <c r="C35" s="100"/>
      <c r="D35" s="100"/>
      <c r="E35" s="100"/>
      <c r="F35" s="101"/>
      <c r="G35" s="22">
        <f>(G29+G30-G31)*(1+'Fane 13. Nøgletal'!C13)</f>
        <v>5898795.7388883401</v>
      </c>
      <c r="H35" s="14" t="s">
        <v>3</v>
      </c>
      <c r="I35" s="1"/>
    </row>
    <row r="36" spans="1:9" x14ac:dyDescent="0.25">
      <c r="A36" s="1"/>
      <c r="B36" s="99" t="s">
        <v>232</v>
      </c>
      <c r="C36" s="100"/>
      <c r="D36" s="100"/>
      <c r="E36" s="100"/>
      <c r="F36" s="101"/>
      <c r="G36" s="47">
        <v>0</v>
      </c>
      <c r="H36" s="14" t="s">
        <v>3</v>
      </c>
      <c r="I36" s="1"/>
    </row>
    <row r="37" spans="1:9" x14ac:dyDescent="0.25">
      <c r="A37" s="1"/>
      <c r="B37" s="99" t="s">
        <v>123</v>
      </c>
      <c r="C37" s="100"/>
      <c r="D37" s="100"/>
      <c r="E37" s="100"/>
      <c r="F37" s="101"/>
      <c r="G37" s="22">
        <f>(G35+G36)*'Fane 13. Nøgletal'!C33</f>
        <v>117975.9147777668</v>
      </c>
      <c r="H37" s="14" t="s">
        <v>3</v>
      </c>
      <c r="I37" s="1"/>
    </row>
    <row r="38" spans="1:9" x14ac:dyDescent="0.25">
      <c r="A38" s="1"/>
      <c r="B38" s="53"/>
      <c r="C38" s="54"/>
      <c r="D38" s="54"/>
      <c r="E38" s="54"/>
      <c r="F38" s="54"/>
      <c r="G38" s="35"/>
      <c r="H38" s="19"/>
      <c r="I38" s="1"/>
    </row>
    <row r="39" spans="1:9" x14ac:dyDescent="0.25">
      <c r="A39" s="1"/>
      <c r="B39" s="1"/>
      <c r="C39" s="1"/>
      <c r="D39" s="1"/>
      <c r="E39" s="1"/>
      <c r="F39" s="1"/>
      <c r="G39" s="36"/>
      <c r="H39" s="1"/>
      <c r="I39" s="1"/>
    </row>
    <row r="40" spans="1:9" x14ac:dyDescent="0.25">
      <c r="A40" s="1"/>
      <c r="B40" s="105" t="s">
        <v>157</v>
      </c>
      <c r="C40" s="106"/>
      <c r="D40" s="106"/>
      <c r="E40" s="106"/>
      <c r="F40" s="106"/>
      <c r="G40" s="106"/>
      <c r="H40" s="107"/>
      <c r="I40" s="1"/>
    </row>
    <row r="41" spans="1:9" x14ac:dyDescent="0.25">
      <c r="A41" s="1"/>
      <c r="B41" s="99" t="s">
        <v>68</v>
      </c>
      <c r="C41" s="100"/>
      <c r="D41" s="100"/>
      <c r="E41" s="100"/>
      <c r="F41" s="101"/>
      <c r="G41" s="22">
        <f>(G35+G36-G37)*(1+'Fane 13. Nøgletal'!C15)</f>
        <v>5986617.0098489104</v>
      </c>
      <c r="H41" s="14" t="s">
        <v>3</v>
      </c>
      <c r="I41" s="1"/>
    </row>
    <row r="42" spans="1:9" x14ac:dyDescent="0.25">
      <c r="A42" s="1"/>
      <c r="B42" s="99" t="s">
        <v>156</v>
      </c>
      <c r="C42" s="100"/>
      <c r="D42" s="100"/>
      <c r="E42" s="100"/>
      <c r="F42" s="101"/>
      <c r="G42" s="47">
        <v>0</v>
      </c>
      <c r="H42" s="14" t="s">
        <v>3</v>
      </c>
      <c r="I42" s="1"/>
    </row>
    <row r="43" spans="1:9" x14ac:dyDescent="0.25">
      <c r="A43" s="1"/>
      <c r="B43" s="99" t="s">
        <v>166</v>
      </c>
      <c r="C43" s="100"/>
      <c r="D43" s="100"/>
      <c r="E43" s="100"/>
      <c r="F43" s="101"/>
      <c r="G43" s="22">
        <f>(G41+G42)*'Fane 13. Nøgletal'!C33</f>
        <v>119732.34019697821</v>
      </c>
      <c r="H43" s="14" t="s">
        <v>3</v>
      </c>
      <c r="I43" s="1"/>
    </row>
    <row r="44" spans="1:9" x14ac:dyDescent="0.25">
      <c r="A44" s="1"/>
      <c r="B44" s="53"/>
      <c r="C44" s="54"/>
      <c r="D44" s="54"/>
      <c r="E44" s="54"/>
      <c r="F44" s="54"/>
      <c r="G44" s="35"/>
      <c r="H44" s="19"/>
      <c r="I44" s="1"/>
    </row>
    <row r="45" spans="1:9" x14ac:dyDescent="0.25">
      <c r="A45" s="1"/>
      <c r="B45" s="1"/>
      <c r="C45" s="1"/>
      <c r="D45" s="1"/>
      <c r="E45" s="1"/>
      <c r="F45" s="1"/>
      <c r="G45" s="36"/>
      <c r="H45" s="1"/>
      <c r="I45" s="1"/>
    </row>
    <row r="46" spans="1:9" x14ac:dyDescent="0.25">
      <c r="A46" s="1"/>
      <c r="B46" s="105" t="s">
        <v>158</v>
      </c>
      <c r="C46" s="106"/>
      <c r="D46" s="106"/>
      <c r="E46" s="106"/>
      <c r="F46" s="106"/>
      <c r="G46" s="106"/>
      <c r="H46" s="107"/>
      <c r="I46" s="1"/>
    </row>
    <row r="47" spans="1:9" x14ac:dyDescent="0.25">
      <c r="A47" s="1"/>
      <c r="B47" s="99" t="s">
        <v>112</v>
      </c>
      <c r="C47" s="100"/>
      <c r="D47" s="100"/>
      <c r="E47" s="100"/>
      <c r="F47" s="101"/>
      <c r="G47" s="22">
        <f>(G41+G42-G43)*(1+'Fane 13. Nøgletal'!C15)</f>
        <v>6075745.7638915414</v>
      </c>
      <c r="H47" s="14" t="s">
        <v>3</v>
      </c>
      <c r="I47" s="1"/>
    </row>
    <row r="48" spans="1:9" x14ac:dyDescent="0.25">
      <c r="A48" s="1"/>
      <c r="B48" s="99" t="s">
        <v>206</v>
      </c>
      <c r="C48" s="100"/>
      <c r="D48" s="100"/>
      <c r="E48" s="100"/>
      <c r="F48" s="101"/>
      <c r="G48" s="57">
        <f>('Fane 2.1. Økonomisk ramme 2024'!C9+'Fane 2.1. Økonomisk ramme 2024'!C11+'Fane 2.1. Økonomisk ramme 2024'!C13)*(1+'Fane 13. Nøgletal'!C16)</f>
        <v>0</v>
      </c>
      <c r="H48" s="14" t="s">
        <v>3</v>
      </c>
      <c r="I48" s="1"/>
    </row>
    <row r="49" spans="1:9" x14ac:dyDescent="0.25">
      <c r="A49" s="1"/>
      <c r="B49" s="99" t="s">
        <v>167</v>
      </c>
      <c r="C49" s="100"/>
      <c r="D49" s="100"/>
      <c r="E49" s="100"/>
      <c r="F49" s="101"/>
      <c r="G49" s="22">
        <f>G47*'Fane 13. Nøgletal'!C33+G48*'Fane 13. Nøgletal'!C33</f>
        <v>121514.91527783083</v>
      </c>
      <c r="H49" s="14" t="s">
        <v>3</v>
      </c>
      <c r="I49" s="1"/>
    </row>
    <row r="50" spans="1:9" x14ac:dyDescent="0.25">
      <c r="A50" s="1"/>
      <c r="B50" s="53"/>
      <c r="C50" s="54"/>
      <c r="D50" s="54"/>
      <c r="E50" s="54"/>
      <c r="F50" s="54"/>
      <c r="G50" s="35"/>
      <c r="H50" s="19"/>
      <c r="I50" s="1"/>
    </row>
    <row r="51" spans="1:9" x14ac:dyDescent="0.25">
      <c r="A51" s="1"/>
      <c r="B51" s="1"/>
      <c r="C51" s="1"/>
      <c r="D51" s="1"/>
      <c r="E51" s="1"/>
      <c r="F51" s="1"/>
      <c r="G51" s="36"/>
      <c r="H51" s="1"/>
      <c r="I51" s="1"/>
    </row>
    <row r="52" spans="1:9" x14ac:dyDescent="0.25">
      <c r="A52" s="1"/>
      <c r="B52" s="105" t="s">
        <v>133</v>
      </c>
      <c r="C52" s="106"/>
      <c r="D52" s="106"/>
      <c r="E52" s="106"/>
      <c r="F52" s="106"/>
      <c r="G52" s="106"/>
      <c r="H52" s="107"/>
      <c r="I52" s="1"/>
    </row>
    <row r="53" spans="1:9" x14ac:dyDescent="0.25">
      <c r="A53" s="1"/>
      <c r="B53" s="99" t="s">
        <v>134</v>
      </c>
      <c r="C53" s="100"/>
      <c r="D53" s="100"/>
      <c r="E53" s="100"/>
      <c r="F53" s="101"/>
      <c r="G53" s="22">
        <f>(G47+G48-G49)*(1+'Fane 13. Nøgletal'!C16)</f>
        <v>6435332.7011816977</v>
      </c>
      <c r="H53" s="14" t="s">
        <v>3</v>
      </c>
      <c r="I53" s="1"/>
    </row>
    <row r="54" spans="1:9" x14ac:dyDescent="0.25">
      <c r="A54" s="1"/>
      <c r="B54" s="99" t="s">
        <v>135</v>
      </c>
      <c r="C54" s="100"/>
      <c r="D54" s="100"/>
      <c r="E54" s="100"/>
      <c r="F54" s="101"/>
      <c r="G54" s="22">
        <f>(G53)*'Fane 13. Nøgletal'!C33</f>
        <v>128706.65402363395</v>
      </c>
      <c r="H54" s="14" t="s">
        <v>3</v>
      </c>
      <c r="I54" s="1"/>
    </row>
    <row r="55" spans="1:9" x14ac:dyDescent="0.25">
      <c r="A55" s="1"/>
      <c r="B55" s="53"/>
      <c r="C55" s="54"/>
      <c r="D55" s="54"/>
      <c r="E55" s="54"/>
      <c r="F55" s="54"/>
      <c r="G55" s="35"/>
      <c r="H55" s="19"/>
      <c r="I55" s="1"/>
    </row>
    <row r="56" spans="1:9" x14ac:dyDescent="0.25">
      <c r="A56" s="1"/>
      <c r="B56" s="1"/>
      <c r="C56" s="1"/>
      <c r="D56" s="1"/>
      <c r="E56" s="1"/>
      <c r="F56" s="1"/>
      <c r="G56" s="36"/>
      <c r="H56" s="1"/>
      <c r="I56" s="1"/>
    </row>
    <row r="57" spans="1:9" x14ac:dyDescent="0.25">
      <c r="A57" s="1"/>
      <c r="B57" s="105" t="s">
        <v>144</v>
      </c>
      <c r="C57" s="106"/>
      <c r="D57" s="106"/>
      <c r="E57" s="106"/>
      <c r="F57" s="106"/>
      <c r="G57" s="106"/>
      <c r="H57" s="107"/>
      <c r="I57" s="1"/>
    </row>
    <row r="58" spans="1:9" x14ac:dyDescent="0.25">
      <c r="A58" s="1"/>
      <c r="B58" s="99" t="s">
        <v>145</v>
      </c>
      <c r="C58" s="100"/>
      <c r="D58" s="100"/>
      <c r="E58" s="100"/>
      <c r="F58" s="101"/>
      <c r="G58" s="22">
        <f>(G53-G54)*(1+'Fane 13. Nøgletal'!C16)</f>
        <v>6816201.4317684351</v>
      </c>
      <c r="H58" s="14" t="s">
        <v>3</v>
      </c>
      <c r="I58" s="1"/>
    </row>
    <row r="59" spans="1:9" x14ac:dyDescent="0.25">
      <c r="A59" s="1"/>
      <c r="B59" s="99" t="s">
        <v>146</v>
      </c>
      <c r="C59" s="100"/>
      <c r="D59" s="100"/>
      <c r="E59" s="100"/>
      <c r="F59" s="101"/>
      <c r="G59" s="22">
        <f>(G58)*'Fane 13. Nøgletal'!C33</f>
        <v>136324.02863536871</v>
      </c>
      <c r="H59" s="14" t="s">
        <v>3</v>
      </c>
      <c r="I59" s="1"/>
    </row>
    <row r="60" spans="1:9" x14ac:dyDescent="0.25">
      <c r="A60" s="1"/>
      <c r="B60" s="53"/>
      <c r="C60" s="54"/>
      <c r="D60" s="54"/>
      <c r="E60" s="54"/>
      <c r="F60" s="54"/>
      <c r="G60" s="35"/>
      <c r="H60" s="19"/>
      <c r="I60" s="1"/>
    </row>
    <row r="61" spans="1:9" x14ac:dyDescent="0.25">
      <c r="A61" s="1"/>
      <c r="B61" s="1"/>
      <c r="C61" s="1"/>
      <c r="D61" s="1"/>
      <c r="E61" s="1"/>
      <c r="F61" s="1"/>
      <c r="G61" s="36"/>
      <c r="H61" s="1"/>
      <c r="I61" s="1"/>
    </row>
    <row r="62" spans="1:9" x14ac:dyDescent="0.25">
      <c r="A62" s="1"/>
      <c r="B62" s="105" t="s">
        <v>220</v>
      </c>
      <c r="C62" s="106"/>
      <c r="D62" s="106"/>
      <c r="E62" s="106"/>
      <c r="F62" s="106"/>
      <c r="G62" s="106"/>
      <c r="H62" s="107"/>
      <c r="I62" s="1"/>
    </row>
    <row r="63" spans="1:9" x14ac:dyDescent="0.25">
      <c r="A63" s="1"/>
      <c r="B63" s="99" t="s">
        <v>221</v>
      </c>
      <c r="C63" s="100"/>
      <c r="D63" s="100"/>
      <c r="E63" s="100"/>
      <c r="F63" s="101"/>
      <c r="G63" s="22">
        <f>(G58-G59)*(1+'Fane 13. Nøgletal'!C16)</f>
        <v>7219611.4973062184</v>
      </c>
      <c r="H63" s="14" t="s">
        <v>3</v>
      </c>
      <c r="I63" s="1"/>
    </row>
    <row r="64" spans="1:9" x14ac:dyDescent="0.25">
      <c r="A64" s="1"/>
      <c r="B64" s="99" t="s">
        <v>222</v>
      </c>
      <c r="C64" s="100"/>
      <c r="D64" s="100"/>
      <c r="E64" s="100"/>
      <c r="F64" s="101"/>
      <c r="G64" s="22">
        <f>(G63)*'Fane 13. Nøgletal'!C33</f>
        <v>144392.22994612437</v>
      </c>
      <c r="H64" s="14" t="s">
        <v>3</v>
      </c>
      <c r="I64" s="1"/>
    </row>
    <row r="65" spans="1:9" x14ac:dyDescent="0.25">
      <c r="A65" s="1"/>
      <c r="B65" s="53"/>
      <c r="C65" s="54"/>
      <c r="D65" s="54"/>
      <c r="E65" s="54"/>
      <c r="F65" s="54"/>
      <c r="G65" s="50"/>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COy+RE+ZR/mN1ap9oS6RMZ0UoWMJ0pzQ4way1Ur6ErHEPDxyGOZz30R4jzc/rAhNJrRtTIZ+2jPl0a7AqFh6dg==" saltValue="/eA+YVBy3P/NCgHqFiz8sQ=="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8" t="s">
        <v>91</v>
      </c>
      <c r="C1" s="109"/>
      <c r="D1" s="109"/>
      <c r="E1" s="109"/>
      <c r="F1" s="109"/>
      <c r="G1" s="109"/>
      <c r="H1" s="109"/>
      <c r="I1" s="1"/>
    </row>
    <row r="2" spans="1:9" ht="19.899999999999999" customHeight="1" x14ac:dyDescent="0.25">
      <c r="A2" s="1"/>
      <c r="B2" s="109"/>
      <c r="C2" s="109"/>
      <c r="D2" s="109"/>
      <c r="E2" s="109"/>
      <c r="F2" s="109"/>
      <c r="G2" s="109"/>
      <c r="H2" s="109"/>
      <c r="I2" s="1"/>
    </row>
    <row r="3" spans="1:9" ht="15" customHeight="1" x14ac:dyDescent="0.25">
      <c r="A3" s="1"/>
      <c r="B3" s="110"/>
      <c r="C3" s="110"/>
      <c r="D3" s="110"/>
      <c r="E3" s="110"/>
      <c r="F3" s="110"/>
      <c r="G3" s="110"/>
      <c r="H3" s="110"/>
      <c r="I3" s="1"/>
    </row>
    <row r="4" spans="1:9" x14ac:dyDescent="0.25">
      <c r="A4" s="1"/>
      <c r="B4" s="105" t="s">
        <v>48</v>
      </c>
      <c r="C4" s="106"/>
      <c r="D4" s="106"/>
      <c r="E4" s="106"/>
      <c r="F4" s="106"/>
      <c r="G4" s="106"/>
      <c r="H4" s="107"/>
      <c r="I4" s="1"/>
    </row>
    <row r="5" spans="1:9" x14ac:dyDescent="0.25">
      <c r="A5" s="1"/>
      <c r="B5" s="99" t="s">
        <v>51</v>
      </c>
      <c r="C5" s="100"/>
      <c r="D5" s="100"/>
      <c r="E5" s="100"/>
      <c r="F5" s="101"/>
      <c r="G5" s="47">
        <v>3664696.0084895384</v>
      </c>
      <c r="H5" s="14" t="s">
        <v>3</v>
      </c>
      <c r="I5" s="1"/>
    </row>
    <row r="6" spans="1:9" x14ac:dyDescent="0.25">
      <c r="A6" s="1"/>
      <c r="B6" s="99" t="s">
        <v>49</v>
      </c>
      <c r="C6" s="100"/>
      <c r="D6" s="100"/>
      <c r="E6" s="100"/>
      <c r="F6" s="101"/>
      <c r="G6" s="22">
        <f>G5*'Fane 13. Nøgletal'!C21</f>
        <v>33348.733677254801</v>
      </c>
      <c r="H6" s="14" t="s">
        <v>3</v>
      </c>
      <c r="I6" s="1"/>
    </row>
    <row r="7" spans="1:9" x14ac:dyDescent="0.25">
      <c r="A7" s="1"/>
      <c r="B7" s="53"/>
      <c r="C7" s="54"/>
      <c r="D7" s="54"/>
      <c r="E7" s="54"/>
      <c r="F7" s="54"/>
      <c r="G7" s="54"/>
      <c r="H7" s="19"/>
      <c r="I7" s="1"/>
    </row>
    <row r="8" spans="1:9" x14ac:dyDescent="0.25">
      <c r="A8" s="1"/>
      <c r="B8" s="1"/>
      <c r="C8" s="1"/>
      <c r="D8" s="1"/>
      <c r="E8" s="1"/>
      <c r="F8" s="1"/>
      <c r="G8" s="1"/>
      <c r="H8" s="1"/>
      <c r="I8" s="1"/>
    </row>
    <row r="9" spans="1:9" x14ac:dyDescent="0.25">
      <c r="A9" s="1"/>
      <c r="B9" s="105" t="s">
        <v>52</v>
      </c>
      <c r="C9" s="106"/>
      <c r="D9" s="106"/>
      <c r="E9" s="106"/>
      <c r="F9" s="106"/>
      <c r="G9" s="106"/>
      <c r="H9" s="107"/>
      <c r="I9" s="1"/>
    </row>
    <row r="10" spans="1:9" x14ac:dyDescent="0.25">
      <c r="A10" s="1"/>
      <c r="B10" s="99" t="s">
        <v>53</v>
      </c>
      <c r="C10" s="100"/>
      <c r="D10" s="100"/>
      <c r="E10" s="100"/>
      <c r="F10" s="101"/>
      <c r="G10" s="22">
        <f>(G5-G6)*(1+'Fane 13. Nøgletal'!C9)</f>
        <v>3677465.385202399</v>
      </c>
      <c r="H10" s="14" t="s">
        <v>3</v>
      </c>
      <c r="I10" s="1"/>
    </row>
    <row r="11" spans="1:9" x14ac:dyDescent="0.25">
      <c r="A11" s="1"/>
      <c r="B11" s="102" t="s">
        <v>54</v>
      </c>
      <c r="C11" s="103"/>
      <c r="D11" s="103"/>
      <c r="E11" s="103"/>
      <c r="F11" s="104"/>
      <c r="G11" s="48">
        <v>0</v>
      </c>
      <c r="H11" s="14" t="s">
        <v>3</v>
      </c>
      <c r="I11" s="1"/>
    </row>
    <row r="12" spans="1:9" x14ac:dyDescent="0.25">
      <c r="A12" s="1"/>
      <c r="B12" s="99" t="s">
        <v>55</v>
      </c>
      <c r="C12" s="100"/>
      <c r="D12" s="100"/>
      <c r="E12" s="100"/>
      <c r="F12" s="101"/>
      <c r="G12" s="22">
        <f>G10*'Fane 13. Nøgletal'!C21+G11*'Fane 13. Nøgletal'!C22</f>
        <v>33464.935005341831</v>
      </c>
      <c r="H12" s="14" t="s">
        <v>3</v>
      </c>
      <c r="I12" s="1"/>
    </row>
    <row r="13" spans="1:9" x14ac:dyDescent="0.25">
      <c r="A13" s="1"/>
      <c r="B13" s="53"/>
      <c r="C13" s="54"/>
      <c r="D13" s="54"/>
      <c r="E13" s="54"/>
      <c r="F13" s="54"/>
      <c r="G13" s="54"/>
      <c r="H13" s="19"/>
      <c r="I13" s="1"/>
    </row>
    <row r="14" spans="1:9" x14ac:dyDescent="0.25">
      <c r="A14" s="1"/>
      <c r="B14" s="1"/>
      <c r="C14" s="1"/>
      <c r="D14" s="1"/>
      <c r="E14" s="1"/>
      <c r="F14" s="1"/>
      <c r="G14" s="1"/>
      <c r="H14" s="1"/>
      <c r="I14" s="1"/>
    </row>
    <row r="15" spans="1:9" x14ac:dyDescent="0.25">
      <c r="A15" s="1"/>
      <c r="B15" s="105" t="s">
        <v>56</v>
      </c>
      <c r="C15" s="106"/>
      <c r="D15" s="106"/>
      <c r="E15" s="106"/>
      <c r="F15" s="106"/>
      <c r="G15" s="106"/>
      <c r="H15" s="107"/>
      <c r="I15" s="1"/>
    </row>
    <row r="16" spans="1:9" x14ac:dyDescent="0.25">
      <c r="A16" s="1"/>
      <c r="B16" s="99" t="s">
        <v>57</v>
      </c>
      <c r="C16" s="100"/>
      <c r="D16" s="100"/>
      <c r="E16" s="100"/>
      <c r="F16" s="101"/>
      <c r="G16" s="22">
        <f>(G10+G11-G12)*(1+'Fane 13. Nøgletal'!C11)</f>
        <v>3705584.0578053873</v>
      </c>
      <c r="H16" s="14" t="s">
        <v>3</v>
      </c>
      <c r="I16" s="1"/>
    </row>
    <row r="17" spans="1:9" x14ac:dyDescent="0.25">
      <c r="A17" s="1"/>
      <c r="B17" s="99" t="s">
        <v>101</v>
      </c>
      <c r="C17" s="100"/>
      <c r="D17" s="100"/>
      <c r="E17" s="100"/>
      <c r="F17" s="101"/>
      <c r="G17" s="47">
        <v>146406.42389635605</v>
      </c>
      <c r="H17" s="14" t="s">
        <v>3</v>
      </c>
      <c r="I17" s="1"/>
    </row>
    <row r="18" spans="1:9" x14ac:dyDescent="0.25">
      <c r="A18" s="1"/>
      <c r="B18" s="102" t="s">
        <v>58</v>
      </c>
      <c r="C18" s="103"/>
      <c r="D18" s="103"/>
      <c r="E18" s="103"/>
      <c r="F18" s="104"/>
      <c r="G18" s="47">
        <v>0</v>
      </c>
      <c r="H18" s="14" t="s">
        <v>3</v>
      </c>
      <c r="I18" s="1"/>
    </row>
    <row r="19" spans="1:9" x14ac:dyDescent="0.25">
      <c r="A19" s="1"/>
      <c r="B19" s="99" t="s">
        <v>59</v>
      </c>
      <c r="C19" s="100"/>
      <c r="D19" s="100"/>
      <c r="E19" s="100"/>
      <c r="F19" s="101"/>
      <c r="G19" s="22">
        <f>(G16+G17+G18)*'Fane 13. Nøgletal'!C23</f>
        <v>33512.317190805166</v>
      </c>
      <c r="H19" s="14" t="s">
        <v>3</v>
      </c>
      <c r="I19" s="1"/>
    </row>
    <row r="20" spans="1:9" x14ac:dyDescent="0.25">
      <c r="A20" s="1"/>
      <c r="B20" s="53"/>
      <c r="C20" s="54"/>
      <c r="D20" s="54"/>
      <c r="E20" s="54"/>
      <c r="F20" s="54"/>
      <c r="G20" s="54"/>
      <c r="H20" s="19"/>
      <c r="I20" s="1"/>
    </row>
    <row r="21" spans="1:9" x14ac:dyDescent="0.25">
      <c r="A21" s="1"/>
      <c r="B21" s="1"/>
      <c r="C21" s="1"/>
      <c r="D21" s="1"/>
      <c r="E21" s="1"/>
      <c r="F21" s="1"/>
      <c r="G21" s="1"/>
      <c r="H21" s="1"/>
      <c r="I21" s="1"/>
    </row>
    <row r="22" spans="1:9" x14ac:dyDescent="0.25">
      <c r="A22" s="1"/>
      <c r="B22" s="105" t="s">
        <v>60</v>
      </c>
      <c r="C22" s="106"/>
      <c r="D22" s="106"/>
      <c r="E22" s="106"/>
      <c r="F22" s="106"/>
      <c r="G22" s="106"/>
      <c r="H22" s="107"/>
      <c r="I22" s="1"/>
    </row>
    <row r="23" spans="1:9" x14ac:dyDescent="0.25">
      <c r="A23" s="1"/>
      <c r="B23" s="99" t="s">
        <v>61</v>
      </c>
      <c r="C23" s="100"/>
      <c r="D23" s="100"/>
      <c r="E23" s="100"/>
      <c r="F23" s="101"/>
      <c r="G23" s="22">
        <f>(SUM(G16:G18)-G19)*(1+'Fane 13. Nøgletal'!C11)</f>
        <v>3883010.4454911728</v>
      </c>
      <c r="H23" s="14" t="s">
        <v>3</v>
      </c>
      <c r="I23" s="1"/>
    </row>
    <row r="24" spans="1:9" x14ac:dyDescent="0.25">
      <c r="A24" s="1"/>
      <c r="B24" s="102" t="s">
        <v>62</v>
      </c>
      <c r="C24" s="103"/>
      <c r="D24" s="103"/>
      <c r="E24" s="103"/>
      <c r="F24" s="104"/>
      <c r="G24" s="47">
        <v>114278.325946686</v>
      </c>
      <c r="H24" s="14" t="s">
        <v>3</v>
      </c>
      <c r="I24" s="1"/>
    </row>
    <row r="25" spans="1:9" x14ac:dyDescent="0.25">
      <c r="A25" s="1"/>
      <c r="B25" s="99" t="s">
        <v>63</v>
      </c>
      <c r="C25" s="100"/>
      <c r="D25" s="100"/>
      <c r="E25" s="100"/>
      <c r="F25" s="101"/>
      <c r="G25" s="22">
        <f>G23*'Fane 13. Nøgletal'!C23+G24*'Fane 13. Nøgletal'!C24</f>
        <v>37027.695332659081</v>
      </c>
      <c r="H25" s="14" t="s">
        <v>3</v>
      </c>
      <c r="I25" s="1"/>
    </row>
    <row r="26" spans="1:9" x14ac:dyDescent="0.25">
      <c r="A26" s="1"/>
      <c r="B26" s="53"/>
      <c r="C26" s="54"/>
      <c r="D26" s="54"/>
      <c r="E26" s="54"/>
      <c r="F26" s="54"/>
      <c r="G26" s="54"/>
      <c r="H26" s="19"/>
      <c r="I26" s="1"/>
    </row>
    <row r="27" spans="1:9" x14ac:dyDescent="0.25">
      <c r="A27" s="1"/>
      <c r="B27" s="1"/>
      <c r="C27" s="1"/>
      <c r="D27" s="1"/>
      <c r="E27" s="1"/>
      <c r="F27" s="1"/>
      <c r="G27" s="1"/>
      <c r="H27" s="1"/>
      <c r="I27" s="1"/>
    </row>
    <row r="28" spans="1:9" x14ac:dyDescent="0.25">
      <c r="A28" s="1"/>
      <c r="B28" s="105" t="s">
        <v>119</v>
      </c>
      <c r="C28" s="106"/>
      <c r="D28" s="106"/>
      <c r="E28" s="106"/>
      <c r="F28" s="106"/>
      <c r="G28" s="106"/>
      <c r="H28" s="107"/>
      <c r="I28" s="1"/>
    </row>
    <row r="29" spans="1:9" x14ac:dyDescent="0.25">
      <c r="A29" s="1"/>
      <c r="B29" s="99" t="s">
        <v>64</v>
      </c>
      <c r="C29" s="100"/>
      <c r="D29" s="100"/>
      <c r="E29" s="100"/>
      <c r="F29" s="101"/>
      <c r="G29" s="22">
        <f>(G23+G24-G25)*(1+'Fane 13. Nøgletal'!C13)</f>
        <v>4008576.2612336832</v>
      </c>
      <c r="H29" s="14" t="s">
        <v>3</v>
      </c>
      <c r="I29" s="1"/>
    </row>
    <row r="30" spans="1:9" x14ac:dyDescent="0.25">
      <c r="A30" s="1"/>
      <c r="B30" s="99" t="s">
        <v>113</v>
      </c>
      <c r="C30" s="100"/>
      <c r="D30" s="100"/>
      <c r="E30" s="100"/>
      <c r="F30" s="101"/>
      <c r="G30" s="47">
        <v>42502.384078560004</v>
      </c>
      <c r="H30" s="14" t="s">
        <v>3</v>
      </c>
      <c r="I30" s="1"/>
    </row>
    <row r="31" spans="1:9" x14ac:dyDescent="0.25">
      <c r="A31" s="1"/>
      <c r="B31" s="99" t="s">
        <v>120</v>
      </c>
      <c r="C31" s="100"/>
      <c r="D31" s="100"/>
      <c r="E31" s="100"/>
      <c r="F31" s="101"/>
      <c r="G31" s="22">
        <f>(G29+G30)*'Fane 13. Nøgletal'!C25</f>
        <v>111404.66274608669</v>
      </c>
      <c r="H31" s="14" t="s">
        <v>3</v>
      </c>
      <c r="I31" s="1"/>
    </row>
    <row r="32" spans="1:9" x14ac:dyDescent="0.25">
      <c r="A32" s="1"/>
      <c r="B32" s="53"/>
      <c r="C32" s="54"/>
      <c r="D32" s="54"/>
      <c r="E32" s="54"/>
      <c r="F32" s="54"/>
      <c r="G32" s="54"/>
      <c r="H32" s="19"/>
      <c r="I32" s="1"/>
    </row>
    <row r="33" spans="1:9" x14ac:dyDescent="0.25">
      <c r="A33" s="1"/>
      <c r="B33" s="1"/>
      <c r="C33" s="1"/>
      <c r="D33" s="1"/>
      <c r="E33" s="1"/>
      <c r="F33" s="1"/>
      <c r="G33" s="1"/>
      <c r="H33" s="1"/>
      <c r="I33" s="1"/>
    </row>
    <row r="34" spans="1:9" x14ac:dyDescent="0.25">
      <c r="A34" s="1"/>
      <c r="B34" s="105" t="s">
        <v>124</v>
      </c>
      <c r="C34" s="106"/>
      <c r="D34" s="106"/>
      <c r="E34" s="106"/>
      <c r="F34" s="106"/>
      <c r="G34" s="106"/>
      <c r="H34" s="107"/>
      <c r="I34" s="1"/>
    </row>
    <row r="35" spans="1:9" x14ac:dyDescent="0.25">
      <c r="A35" s="1"/>
      <c r="B35" s="99" t="s">
        <v>67</v>
      </c>
      <c r="C35" s="100"/>
      <c r="D35" s="100"/>
      <c r="E35" s="100"/>
      <c r="F35" s="101"/>
      <c r="G35" s="22">
        <f>(G29+G30-G31)*(1+'Fane 13. Nøgletal'!C13)</f>
        <v>3987738.0051534637</v>
      </c>
      <c r="H35" s="14" t="s">
        <v>3</v>
      </c>
      <c r="I35" s="1"/>
    </row>
    <row r="36" spans="1:9" x14ac:dyDescent="0.25">
      <c r="A36" s="1"/>
      <c r="B36" s="99" t="s">
        <v>129</v>
      </c>
      <c r="C36" s="100"/>
      <c r="D36" s="100"/>
      <c r="E36" s="100"/>
      <c r="F36" s="101"/>
      <c r="G36" s="47">
        <v>0</v>
      </c>
      <c r="H36" s="14" t="s">
        <v>3</v>
      </c>
      <c r="I36" s="1"/>
    </row>
    <row r="37" spans="1:9" x14ac:dyDescent="0.25">
      <c r="A37" s="1"/>
      <c r="B37" s="99" t="s">
        <v>125</v>
      </c>
      <c r="C37" s="100"/>
      <c r="D37" s="100"/>
      <c r="E37" s="100"/>
      <c r="F37" s="101"/>
      <c r="G37" s="22">
        <f>G35*'Fane 13. Nøgletal'!C25+G36*'Fane 13. Nøgletal'!C26</f>
        <v>109662.79514172026</v>
      </c>
      <c r="H37" s="14" t="s">
        <v>3</v>
      </c>
      <c r="I37" s="1"/>
    </row>
    <row r="38" spans="1:9" x14ac:dyDescent="0.25">
      <c r="A38" s="1"/>
      <c r="B38" s="53"/>
      <c r="C38" s="54"/>
      <c r="D38" s="54"/>
      <c r="E38" s="54"/>
      <c r="F38" s="54"/>
      <c r="G38" s="54"/>
      <c r="H38" s="19"/>
      <c r="I38" s="1"/>
    </row>
    <row r="39" spans="1:9" x14ac:dyDescent="0.25">
      <c r="A39" s="1"/>
      <c r="B39" s="1"/>
      <c r="C39" s="1"/>
      <c r="D39" s="1"/>
      <c r="E39" s="1"/>
      <c r="F39" s="1"/>
      <c r="G39" s="1"/>
      <c r="H39" s="1"/>
      <c r="I39" s="1"/>
    </row>
    <row r="40" spans="1:9" x14ac:dyDescent="0.25">
      <c r="A40" s="1"/>
      <c r="B40" s="105" t="s">
        <v>159</v>
      </c>
      <c r="C40" s="106"/>
      <c r="D40" s="106"/>
      <c r="E40" s="106"/>
      <c r="F40" s="106"/>
      <c r="G40" s="106"/>
      <c r="H40" s="107"/>
      <c r="I40" s="1"/>
    </row>
    <row r="41" spans="1:9" x14ac:dyDescent="0.25">
      <c r="A41" s="1"/>
      <c r="B41" s="99" t="s">
        <v>66</v>
      </c>
      <c r="C41" s="100"/>
      <c r="D41" s="100"/>
      <c r="E41" s="100"/>
      <c r="F41" s="101"/>
      <c r="G41" s="22">
        <f>(G35+G36-G37)*(1+'Fane 13. Nøgletal'!C15)</f>
        <v>4016134.687488162</v>
      </c>
      <c r="H41" s="14" t="s">
        <v>3</v>
      </c>
      <c r="I41" s="1"/>
    </row>
    <row r="42" spans="1:9" x14ac:dyDescent="0.25">
      <c r="A42" s="1"/>
      <c r="B42" s="99" t="s">
        <v>169</v>
      </c>
      <c r="C42" s="100"/>
      <c r="D42" s="100"/>
      <c r="E42" s="100"/>
      <c r="F42" s="101"/>
      <c r="G42" s="47">
        <v>164413.53615744004</v>
      </c>
      <c r="H42" s="14" t="s">
        <v>3</v>
      </c>
      <c r="I42" s="1"/>
    </row>
    <row r="43" spans="1:9" x14ac:dyDescent="0.25">
      <c r="A43" s="1"/>
      <c r="B43" s="99" t="s">
        <v>65</v>
      </c>
      <c r="C43" s="100"/>
      <c r="D43" s="100"/>
      <c r="E43" s="100"/>
      <c r="F43" s="101"/>
      <c r="G43" s="57">
        <f>(G41+G42)*'Fane 13. Nøgletal'!C27</f>
        <v>0</v>
      </c>
      <c r="H43" s="14" t="s">
        <v>3</v>
      </c>
      <c r="I43" s="1"/>
    </row>
    <row r="44" spans="1:9" x14ac:dyDescent="0.25">
      <c r="A44" s="1"/>
      <c r="B44" s="53"/>
      <c r="C44" s="54"/>
      <c r="D44" s="54"/>
      <c r="E44" s="54"/>
      <c r="F44" s="54"/>
      <c r="G44" s="54"/>
      <c r="H44" s="19"/>
      <c r="I44" s="1"/>
    </row>
    <row r="45" spans="1:9" ht="12" customHeight="1" x14ac:dyDescent="0.25">
      <c r="A45" s="1"/>
      <c r="B45" s="1"/>
      <c r="C45" s="1"/>
      <c r="D45" s="1"/>
      <c r="E45" s="1"/>
      <c r="F45" s="1"/>
      <c r="G45" s="1"/>
      <c r="H45" s="1"/>
      <c r="I45" s="1"/>
    </row>
    <row r="46" spans="1:9" x14ac:dyDescent="0.25">
      <c r="A46" s="1"/>
      <c r="B46" s="105" t="s">
        <v>160</v>
      </c>
      <c r="C46" s="106"/>
      <c r="D46" s="106"/>
      <c r="E46" s="106"/>
      <c r="F46" s="106"/>
      <c r="G46" s="106"/>
      <c r="H46" s="107"/>
      <c r="I46" s="1"/>
    </row>
    <row r="47" spans="1:9" x14ac:dyDescent="0.25">
      <c r="A47" s="1"/>
      <c r="B47" s="99" t="s">
        <v>114</v>
      </c>
      <c r="C47" s="100"/>
      <c r="D47" s="100"/>
      <c r="E47" s="100"/>
      <c r="F47" s="101"/>
      <c r="G47" s="22">
        <f>(G41+G42-G43)*(1+'Fane 13. Nøgletal'!C15)</f>
        <v>4329375.7404073859</v>
      </c>
      <c r="H47" s="14" t="s">
        <v>3</v>
      </c>
      <c r="I47" s="1"/>
    </row>
    <row r="48" spans="1:9" x14ac:dyDescent="0.25">
      <c r="A48" s="1"/>
      <c r="B48" s="99" t="s">
        <v>210</v>
      </c>
      <c r="C48" s="100"/>
      <c r="D48" s="100"/>
      <c r="E48" s="100"/>
      <c r="F48" s="101"/>
      <c r="G48" s="22">
        <f>('Fane 2.1. Økonomisk ramme 2024'!C10+'Fane 2.1. Økonomisk ramme 2024'!C12+'Fane 2.1. Økonomisk ramme 2024'!C14)*(1+'Fane 13. Nøgletal'!C16)</f>
        <v>202072.23717631999</v>
      </c>
      <c r="H48" s="14" t="s">
        <v>3</v>
      </c>
      <c r="I48" s="1"/>
    </row>
    <row r="49" spans="1:9" x14ac:dyDescent="0.25">
      <c r="A49" s="1"/>
      <c r="B49" s="99" t="s">
        <v>211</v>
      </c>
      <c r="C49" s="100"/>
      <c r="D49" s="100"/>
      <c r="E49" s="100"/>
      <c r="F49" s="101"/>
      <c r="G49" s="57">
        <f>(G47)*'Fane 13. Nøgletal'!C27+G48*'Fane 13. Nøgletal'!C28</f>
        <v>0</v>
      </c>
      <c r="H49" s="14" t="s">
        <v>3</v>
      </c>
      <c r="I49" s="1"/>
    </row>
    <row r="50" spans="1:9" x14ac:dyDescent="0.25">
      <c r="A50" s="1"/>
      <c r="B50" s="53"/>
      <c r="C50" s="54"/>
      <c r="D50" s="54"/>
      <c r="E50" s="54"/>
      <c r="F50" s="54"/>
      <c r="G50" s="54"/>
      <c r="H50" s="19"/>
      <c r="I50" s="1"/>
    </row>
    <row r="51" spans="1:9" x14ac:dyDescent="0.25">
      <c r="A51" s="1"/>
      <c r="B51" s="1"/>
      <c r="C51" s="1"/>
      <c r="D51" s="1"/>
      <c r="E51" s="1"/>
      <c r="F51" s="1"/>
      <c r="G51" s="1"/>
      <c r="H51" s="1"/>
      <c r="I51" s="1"/>
    </row>
    <row r="52" spans="1:9" x14ac:dyDescent="0.25">
      <c r="A52" s="1"/>
      <c r="B52" s="105" t="s">
        <v>130</v>
      </c>
      <c r="C52" s="106"/>
      <c r="D52" s="106"/>
      <c r="E52" s="106"/>
      <c r="F52" s="106"/>
      <c r="G52" s="106"/>
      <c r="H52" s="107"/>
      <c r="I52" s="1"/>
    </row>
    <row r="53" spans="1:9" x14ac:dyDescent="0.25">
      <c r="A53" s="1"/>
      <c r="B53" s="99" t="s">
        <v>131</v>
      </c>
      <c r="C53" s="100"/>
      <c r="D53" s="100"/>
      <c r="E53" s="100"/>
      <c r="F53" s="101"/>
      <c r="G53" s="22">
        <f>(G47+G48-G49)*(1+'Fane 13. Nøgletal'!C16)</f>
        <v>4897588.9741724692</v>
      </c>
      <c r="H53" s="14" t="s">
        <v>3</v>
      </c>
      <c r="I53" s="1"/>
    </row>
    <row r="54" spans="1:9" x14ac:dyDescent="0.25">
      <c r="A54" s="1"/>
      <c r="B54" s="99" t="s">
        <v>132</v>
      </c>
      <c r="C54" s="100"/>
      <c r="D54" s="100"/>
      <c r="E54" s="100"/>
      <c r="F54" s="101"/>
      <c r="G54" s="57">
        <f>(G53)*'Fane 13. Nøgletal'!C28</f>
        <v>0</v>
      </c>
      <c r="H54" s="14" t="s">
        <v>3</v>
      </c>
      <c r="I54" s="1"/>
    </row>
    <row r="55" spans="1:9" x14ac:dyDescent="0.25">
      <c r="A55" s="1"/>
      <c r="B55" s="53"/>
      <c r="C55" s="54"/>
      <c r="D55" s="54"/>
      <c r="E55" s="54"/>
      <c r="F55" s="54"/>
      <c r="G55" s="54"/>
      <c r="H55" s="19"/>
      <c r="I55" s="1"/>
    </row>
    <row r="56" spans="1:9" x14ac:dyDescent="0.25">
      <c r="A56" s="1"/>
      <c r="B56" s="1"/>
      <c r="C56" s="1"/>
      <c r="D56" s="1"/>
      <c r="E56" s="1"/>
      <c r="F56" s="1"/>
      <c r="G56" s="1"/>
      <c r="H56" s="1"/>
      <c r="I56" s="1"/>
    </row>
    <row r="57" spans="1:9" x14ac:dyDescent="0.25">
      <c r="A57" s="1"/>
      <c r="B57" s="105" t="s">
        <v>147</v>
      </c>
      <c r="C57" s="106"/>
      <c r="D57" s="106"/>
      <c r="E57" s="106"/>
      <c r="F57" s="106"/>
      <c r="G57" s="106"/>
      <c r="H57" s="107"/>
      <c r="I57" s="1"/>
    </row>
    <row r="58" spans="1:9" x14ac:dyDescent="0.25">
      <c r="A58" s="1"/>
      <c r="B58" s="99" t="s">
        <v>148</v>
      </c>
      <c r="C58" s="100"/>
      <c r="D58" s="100"/>
      <c r="E58" s="100"/>
      <c r="F58" s="101"/>
      <c r="G58" s="22">
        <f>(G53-G54)*(1+'Fane 13. Nøgletal'!C16)</f>
        <v>5293314.1632856047</v>
      </c>
      <c r="H58" s="14" t="s">
        <v>3</v>
      </c>
      <c r="I58" s="1"/>
    </row>
    <row r="59" spans="1:9" x14ac:dyDescent="0.25">
      <c r="A59" s="1"/>
      <c r="B59" s="99" t="s">
        <v>149</v>
      </c>
      <c r="C59" s="100"/>
      <c r="D59" s="100"/>
      <c r="E59" s="100"/>
      <c r="F59" s="101"/>
      <c r="G59" s="57">
        <f>(G58)*'Fane 13. Nøgletal'!C28</f>
        <v>0</v>
      </c>
      <c r="H59" s="14" t="s">
        <v>3</v>
      </c>
      <c r="I59" s="1"/>
    </row>
    <row r="60" spans="1:9" x14ac:dyDescent="0.25">
      <c r="A60" s="1"/>
      <c r="B60" s="53"/>
      <c r="C60" s="54"/>
      <c r="D60" s="54"/>
      <c r="E60" s="54"/>
      <c r="F60" s="54"/>
      <c r="G60" s="54"/>
      <c r="H60" s="19"/>
      <c r="I60" s="1"/>
    </row>
    <row r="61" spans="1:9" x14ac:dyDescent="0.25">
      <c r="A61" s="1"/>
      <c r="B61" s="1"/>
      <c r="C61" s="1"/>
      <c r="D61" s="1"/>
      <c r="E61" s="1"/>
      <c r="F61" s="1"/>
      <c r="G61" s="1"/>
      <c r="H61" s="1"/>
      <c r="I61" s="1"/>
    </row>
    <row r="62" spans="1:9" x14ac:dyDescent="0.25">
      <c r="A62" s="1"/>
      <c r="B62" s="105" t="s">
        <v>223</v>
      </c>
      <c r="C62" s="106"/>
      <c r="D62" s="106"/>
      <c r="E62" s="106"/>
      <c r="F62" s="106"/>
      <c r="G62" s="106"/>
      <c r="H62" s="107"/>
      <c r="I62" s="1"/>
    </row>
    <row r="63" spans="1:9" x14ac:dyDescent="0.25">
      <c r="A63" s="1"/>
      <c r="B63" s="99" t="s">
        <v>224</v>
      </c>
      <c r="C63" s="100"/>
      <c r="D63" s="100"/>
      <c r="E63" s="100"/>
      <c r="F63" s="101"/>
      <c r="G63" s="22">
        <f>(G58-G59)*(1+'Fane 13. Nøgletal'!C16)</f>
        <v>5721013.947679081</v>
      </c>
      <c r="H63" s="14" t="s">
        <v>3</v>
      </c>
      <c r="I63" s="1"/>
    </row>
    <row r="64" spans="1:9" x14ac:dyDescent="0.25">
      <c r="A64" s="1"/>
      <c r="B64" s="99" t="s">
        <v>225</v>
      </c>
      <c r="C64" s="100"/>
      <c r="D64" s="100"/>
      <c r="E64" s="100"/>
      <c r="F64" s="101"/>
      <c r="G64" s="57">
        <f>(G63)*'Fane 13. Nøgletal'!C28</f>
        <v>0</v>
      </c>
      <c r="H64" s="14" t="s">
        <v>3</v>
      </c>
      <c r="I64" s="1"/>
    </row>
    <row r="65" spans="1:9" x14ac:dyDescent="0.25">
      <c r="A65" s="1"/>
      <c r="B65" s="53"/>
      <c r="C65" s="54"/>
      <c r="D65" s="54"/>
      <c r="E65" s="54"/>
      <c r="F65" s="54"/>
      <c r="G65" s="54"/>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RDK55bZ+B/u1+qLs+1tRwOyBz3sz4OERMCk2L2tqKd+X+KZpEdX2d1UZb5sA5eK4oChTbci6E5puj+fD+oyYtQ==" saltValue="t5tlkXQT8pg6kljniABXyQ=="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5" t="s">
        <v>77</v>
      </c>
      <c r="C3" s="95"/>
      <c r="D3" s="95"/>
      <c r="E3" s="95"/>
      <c r="F3" s="95"/>
      <c r="G3" s="95"/>
      <c r="H3" s="1"/>
    </row>
    <row r="4" spans="1:8" ht="15" customHeight="1" x14ac:dyDescent="0.25">
      <c r="A4" s="1"/>
      <c r="B4" s="95"/>
      <c r="C4" s="95"/>
      <c r="D4" s="95"/>
      <c r="E4" s="95"/>
      <c r="F4" s="95"/>
      <c r="G4" s="9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5" t="s">
        <v>9</v>
      </c>
      <c r="C8" s="106"/>
      <c r="D8" s="106"/>
      <c r="E8" s="106"/>
      <c r="F8" s="106"/>
      <c r="G8" s="107"/>
      <c r="H8" s="1"/>
    </row>
    <row r="9" spans="1:8" x14ac:dyDescent="0.25">
      <c r="A9" s="1"/>
      <c r="B9" s="66" t="s">
        <v>150</v>
      </c>
      <c r="C9" s="67"/>
      <c r="D9" s="67"/>
      <c r="E9" s="67"/>
      <c r="F9" s="68"/>
      <c r="G9" s="52">
        <v>0</v>
      </c>
      <c r="H9" s="1"/>
    </row>
    <row r="10" spans="1:8" x14ac:dyDescent="0.25">
      <c r="A10" s="1"/>
      <c r="B10" s="53"/>
      <c r="C10" s="54"/>
      <c r="D10" s="54"/>
      <c r="E10" s="54"/>
      <c r="F10" s="54"/>
      <c r="G10" s="19"/>
      <c r="H10" s="1"/>
    </row>
    <row r="11" spans="1:8" ht="15" customHeight="1" x14ac:dyDescent="0.25">
      <c r="A11" s="1"/>
      <c r="B11" s="111" t="s">
        <v>236</v>
      </c>
      <c r="C11" s="112"/>
      <c r="D11" s="112"/>
      <c r="E11" s="112"/>
      <c r="F11" s="112"/>
      <c r="G11" s="113"/>
      <c r="H11" s="1"/>
    </row>
    <row r="12" spans="1:8" ht="13.5" customHeight="1" x14ac:dyDescent="0.25">
      <c r="A12" s="1"/>
      <c r="B12" s="114"/>
      <c r="C12" s="115"/>
      <c r="D12" s="115"/>
      <c r="E12" s="115"/>
      <c r="F12" s="115"/>
      <c r="G12" s="11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02FIVo6su0ckWMVEZt8x2XMg6pum+wkULtoiVN4eLQ6X84ZLKYB7MsLB7el89dBn1vu0VY4w9U29Q4qQpoSheg==" saltValue="HbqAafAFI75FKiEgWj1Hhg=="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2023-08-17T12:29:12Z</dcterms:modified>
</cp:coreProperties>
</file>