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Gribvand Spildevand AS (S032)\ØR2024\"/>
    </mc:Choice>
  </mc:AlternateContent>
  <xr:revisionPtr revIDLastSave="0" documentId="13_ncr:1_{A749B546-3C3B-417F-92D3-43AF932E072D}"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1" iterateCount="1"/>
</workbook>
</file>

<file path=xl/calcChain.xml><?xml version="1.0" encoding="utf-8"?>
<calcChain xmlns="http://schemas.openxmlformats.org/spreadsheetml/2006/main">
  <c r="E16" i="44" l="1"/>
  <c r="E18" i="44" s="1"/>
  <c r="E17" i="44"/>
  <c r="E25" i="44" l="1"/>
  <c r="E29" i="44" s="1"/>
  <c r="E31" i="44" s="1"/>
  <c r="C9" i="2"/>
  <c r="C32" i="2" l="1"/>
  <c r="C20" i="15"/>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<sst xmlns="http://schemas.openxmlformats.org/spreadsheetml/2006/main" count="656" uniqueCount="291">
  <si>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</si>
  <si>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</si>
  <si>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</si>
  <si>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</si>
  <si>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</si>
  <si>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</si>
  <si>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</si>
  <si>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</si>
  <si>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</si>
  <si>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</si>
  <si>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</si>
  <si>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</si>
  <si>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</si>
  <si>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</si>
  <si>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</si>
  <si>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</si>
  <si>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</si>
  <si>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</si>
  <si>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</si>
  <si>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</si>
  <si>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</si>
  <si>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</si>
  <si>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</si>
  <si>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</si>
  <si>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</si>
  <si>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</si>
  <si>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</si>
  <si>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</si>
  <si>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</si>
  <si>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</si>
  <si>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</si>
  <si>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</si>
  <si>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</si>
  <si>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</si>
  <si>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</si>
  <si>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</si>
  <si>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</si>
  <si>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</si>
  <si>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</si>
  <si>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</si>
  <si>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</si>
  <si>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</si>
  <si>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</si>
  <si>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</si>
  <si>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</si>
  <si>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</si>
  <si>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</si>
  <si>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</si>
  <si>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</si>
  <si>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</si>
  <si>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</si>
  <si>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</si>
  <si>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</si>
  <si>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</si>
  <si>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</si>
  <si>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</si>
  <si>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</si>
  <si>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</si>
  <si>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</si>
  <si>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</si>
  <si>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</si>
  <si>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</si>
  <si>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</si>
  <si>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</si>
  <si>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</si>
  <si>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</si>
  <si>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</si>
  <si>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</si>
  <si>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</si>
  <si>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</si>
  <si>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</si>
  <si>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</si>
  <si>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</si>
  <si>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</si>
  <si>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</si>
  <si>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</si>
  <si>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</si>
  <si>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</si>
  <si>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</si>
  <si>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</si>
  <si>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</si>
  <si>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</si>
  <si>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</si>
  <si>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</si>
  <si>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</si>
  <si>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</si>
  <si>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</si>
  <si>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</si>
  <si>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</si>
  <si>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</si>
  <si>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</si>
  <si>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</si>
  <si>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</si>
  <si>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</si>
  <si>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</si>
  <si>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</si>
  <si>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</si>
  <si>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</si>
  <si>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</si>
  <si>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</si>
  <si>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</si>
  <si>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</si>
  <si>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</si>
  <si>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</si>
  <si>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</si>
  <si>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</si>
  <si>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</si>
  <si>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</si>
  <si>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</si>
  <si>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</si>
  <si>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</si>
  <si>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</si>
  <si>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</si>
  <si>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</si>
  <si>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</si>
  <si>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</si>
  <si>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</si>
  <si>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</si>
  <si>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</si>
  <si>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</si>
  <si>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</si>
  <si>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</si>
  <si>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</si>
  <si>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</si>
  <si>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</si>
  <si>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</si>
  <si>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</si>
  <si>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</si>
  <si>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</si>
  <si>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</si>
  <si>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</si>
  <si>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</si>
  <si>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</si>
  <si>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</si>
  <si>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</si>
  <si>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</si>
  <si>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</si>
  <si>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</si>
  <si>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</si>
  <si>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</si>
  <si>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</si>
  <si>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</si>
  <si>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</si>
  <si>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</si>
  <si>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</si>
  <si>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</si>
  <si>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</si>
  <si>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</si>
  <si>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</si>
  <si>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</si>
  <si>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</si>
  <si>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</si>
  <si>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</si>
  <si>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</si>
  <si>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</si>
  <si>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</si>
  <si>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</si>
  <si>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</si>
  <si>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</si>
  <si>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</si>
  <si>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</si>
  <si>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</si>
  <si>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</si>
  <si>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</si>
  <si>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</si>
  <si>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</si>
  <si>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</si>
  <si>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</si>
  <si>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</si>
  <si>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</si>
  <si>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</si>
  <si>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</si>
  <si>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</si>
  <si>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</si>
  <si>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</si>
  <si>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</si>
  <si>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</si>
  <si>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</si>
  <si>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</si>
  <si>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</si>
  <si>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</si>
  <si>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</si>
  <si>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</si>
  <si>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</si>
  <si>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</si>
  <si>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</si>
  <si>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</si>
  <si>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</si>
  <si>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</si>
  <si>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</si>
  <si>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</si>
  <si>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</si>
  <si>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</si>
  <si>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</si>
  <si>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</si>
  <si>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</si>
  <si>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</si>
  <si>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</si>
  <si>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</si>
  <si>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</si>
  <si>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</si>
  <si>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</si>
  <si>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</si>
  <si>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</si>
  <si>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</si>
  <si>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</si>
  <si>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</si>
  <si>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</si>
  <si>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</si>
  <si>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</si>
  <si>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</si>
  <si>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</si>
  <si>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</si>
  <si>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</si>
  <si>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</si>
  <si>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</si>
  <si>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</si>
  <si>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</si>
  <si>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</si>
  <si>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</si>
  <si>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</si>
  <si>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</si>
  <si>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</si>
  <si>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</si>
  <si>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</si>
  <si>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</si>
  <si>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</si>
  <si>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</si>
  <si>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</si>
  <si>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</si>
  <si>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</si>
  <si>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</si>
  <si>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</si>
  <si>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</si>
  <si>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</si>
  <si>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</si>
  <si>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</si>
  <si>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</si>
  <si>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</si>
  <si>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</si>
  <si>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</si>
  <si>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</si>
  <si>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</si>
  <si>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</si>
  <si>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</si>
  <si>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</si>
  <si>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</si>
  <si>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</si>
  <si>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</si>
  <si>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</si>
  <si>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</si>
  <si>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</si>
  <si>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</si>
  <si>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</si>
  <si>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</si>
  <si>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</si>
  <si>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</si>
  <si>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</si>
  <si>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</si>
  <si>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</si>
  <si>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</si>
  <si>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</si>
  <si>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</si>
  <si>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</si>
  <si>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</si>
  <si>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</si>
  <si>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</si>
  <si>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</si>
  <si>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</si>
  <si>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</si>
  <si>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</si>
  <si>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 xml:space="preserve">Udvidelse af forsyningsområdet </t>
  </si>
  <si>
    <t>Individuelt effektiviseringskrav til de økonomiske rammer for 2024-2025</t>
  </si>
  <si>
    <t>Ingen engangstillæg</t>
  </si>
  <si>
    <t>Spildevandsafgift</t>
  </si>
  <si>
    <t>Afgift til Forsyningssekretariatet</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</si>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</sst>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07" t="s">
        <v>252</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08" t="s">
        <v>196</v>
      </c>
      <c r="E13" s="109"/>
      <c r="F13" s="109"/>
      <c r="G13" s="110"/>
      <c r="H13" s="5"/>
      <c r="I13" s="1"/>
    </row>
    <row r="14" spans="1:9" x14ac:dyDescent="0.25">
      <c r="A14" s="1"/>
      <c r="B14" s="1"/>
      <c r="C14" s="6" t="s">
        <v>16</v>
      </c>
      <c r="D14" s="99" t="s">
        <v>197</v>
      </c>
      <c r="E14" s="100"/>
      <c r="F14" s="100"/>
      <c r="G14" s="101"/>
      <c r="H14" s="5"/>
      <c r="I14" s="1"/>
    </row>
    <row r="15" spans="1:9" x14ac:dyDescent="0.25">
      <c r="A15" s="1"/>
      <c r="B15" s="1"/>
      <c r="C15" s="6" t="s">
        <v>31</v>
      </c>
      <c r="D15" s="99" t="s">
        <v>262</v>
      </c>
      <c r="E15" s="100"/>
      <c r="F15" s="100"/>
      <c r="G15" s="101"/>
      <c r="H15" s="5"/>
      <c r="I15" s="1"/>
    </row>
    <row r="16" spans="1:9" x14ac:dyDescent="0.25">
      <c r="A16" s="1"/>
      <c r="B16" s="1"/>
      <c r="C16" s="6" t="s">
        <v>32</v>
      </c>
      <c r="D16" s="99" t="s">
        <v>263</v>
      </c>
      <c r="E16" s="100"/>
      <c r="F16" s="100"/>
      <c r="G16" s="101"/>
      <c r="H16" s="5"/>
      <c r="I16" s="1"/>
    </row>
    <row r="17" spans="1:9" x14ac:dyDescent="0.25">
      <c r="A17" s="1"/>
      <c r="B17" s="1"/>
      <c r="C17" s="6" t="s">
        <v>101</v>
      </c>
      <c r="D17" s="99" t="s">
        <v>198</v>
      </c>
      <c r="E17" s="100"/>
      <c r="F17" s="100"/>
      <c r="G17" s="101"/>
      <c r="H17" s="5"/>
      <c r="I17" s="1"/>
    </row>
    <row r="18" spans="1:9" x14ac:dyDescent="0.25">
      <c r="A18" s="1"/>
      <c r="B18" s="1"/>
      <c r="C18" s="6" t="s">
        <v>88</v>
      </c>
      <c r="D18" s="96" t="s">
        <v>79</v>
      </c>
      <c r="E18" s="97"/>
      <c r="F18" s="97"/>
      <c r="G18" s="98"/>
      <c r="H18" s="5"/>
      <c r="I18" s="1"/>
    </row>
    <row r="19" spans="1:9" x14ac:dyDescent="0.25">
      <c r="A19" s="1"/>
      <c r="B19" s="1"/>
      <c r="C19" s="6" t="s">
        <v>89</v>
      </c>
      <c r="D19" s="96" t="s">
        <v>80</v>
      </c>
      <c r="E19" s="97"/>
      <c r="F19" s="97"/>
      <c r="G19" s="98"/>
      <c r="H19" s="5"/>
      <c r="I19" s="1"/>
    </row>
    <row r="20" spans="1:9" x14ac:dyDescent="0.25">
      <c r="A20" s="1"/>
      <c r="B20" s="1"/>
      <c r="C20" s="6" t="s">
        <v>7</v>
      </c>
      <c r="D20" s="96" t="s">
        <v>10</v>
      </c>
      <c r="E20" s="97"/>
      <c r="F20" s="97"/>
      <c r="G20" s="98"/>
      <c r="H20" s="5"/>
      <c r="I20" s="1"/>
    </row>
    <row r="21" spans="1:9" x14ac:dyDescent="0.25">
      <c r="A21" s="1"/>
      <c r="B21" s="1"/>
      <c r="C21" s="6" t="s">
        <v>90</v>
      </c>
      <c r="D21" s="103" t="s">
        <v>12</v>
      </c>
      <c r="E21" s="104"/>
      <c r="F21" s="104"/>
      <c r="G21" s="105"/>
      <c r="H21" s="5"/>
      <c r="I21" s="1"/>
    </row>
    <row r="22" spans="1:9" x14ac:dyDescent="0.25">
      <c r="A22" s="1"/>
      <c r="B22" s="1"/>
      <c r="C22" s="6" t="s">
        <v>71</v>
      </c>
      <c r="D22" s="90" t="s">
        <v>199</v>
      </c>
      <c r="E22" s="91"/>
      <c r="F22" s="91"/>
      <c r="G22" s="92"/>
      <c r="H22" s="5"/>
      <c r="I22" s="1"/>
    </row>
    <row r="23" spans="1:9" x14ac:dyDescent="0.25">
      <c r="A23" s="1"/>
      <c r="B23" s="1"/>
      <c r="C23" s="6" t="s">
        <v>8</v>
      </c>
      <c r="D23" s="90" t="s">
        <v>181</v>
      </c>
      <c r="E23" s="91"/>
      <c r="F23" s="91"/>
      <c r="G23" s="92"/>
      <c r="H23" s="5"/>
      <c r="I23" s="1"/>
    </row>
    <row r="24" spans="1:9" x14ac:dyDescent="0.25">
      <c r="A24" s="1"/>
      <c r="B24" s="1"/>
      <c r="C24" s="6" t="s">
        <v>9</v>
      </c>
      <c r="D24" s="90" t="s">
        <v>200</v>
      </c>
      <c r="E24" s="91"/>
      <c r="F24" s="91"/>
      <c r="G24" s="92"/>
      <c r="H24" s="5"/>
      <c r="I24" s="1"/>
    </row>
    <row r="25" spans="1:9" x14ac:dyDescent="0.25">
      <c r="A25" s="1"/>
      <c r="B25" s="1"/>
      <c r="C25" s="6" t="s">
        <v>166</v>
      </c>
      <c r="D25" s="90" t="s">
        <v>160</v>
      </c>
      <c r="E25" s="91"/>
      <c r="F25" s="91"/>
      <c r="G25" s="92"/>
      <c r="H25" s="1"/>
      <c r="I25" s="1"/>
    </row>
    <row r="26" spans="1:9" x14ac:dyDescent="0.25">
      <c r="A26" s="1"/>
      <c r="B26" s="1"/>
      <c r="C26" s="6" t="s">
        <v>167</v>
      </c>
      <c r="D26" s="90" t="s">
        <v>72</v>
      </c>
      <c r="E26" s="91"/>
      <c r="F26" s="91"/>
      <c r="G26" s="92"/>
      <c r="H26" s="1"/>
      <c r="I26" s="1"/>
    </row>
    <row r="27" spans="1:9" x14ac:dyDescent="0.25">
      <c r="A27" s="1"/>
      <c r="B27" s="1"/>
      <c r="C27" s="6" t="s">
        <v>168</v>
      </c>
      <c r="D27" s="90" t="s">
        <v>73</v>
      </c>
      <c r="E27" s="91"/>
      <c r="F27" s="91"/>
      <c r="G27" s="92"/>
      <c r="H27" s="1"/>
      <c r="I27" s="1"/>
    </row>
    <row r="28" spans="1:9" x14ac:dyDescent="0.25">
      <c r="A28" s="1"/>
      <c r="B28" s="1"/>
      <c r="C28" s="6" t="s">
        <v>15</v>
      </c>
      <c r="D28" s="90" t="s">
        <v>74</v>
      </c>
      <c r="E28" s="91"/>
      <c r="F28" s="91"/>
      <c r="G28" s="92"/>
      <c r="H28" s="1"/>
      <c r="I28" s="1"/>
    </row>
    <row r="29" spans="1:9" x14ac:dyDescent="0.25">
      <c r="A29" s="1"/>
      <c r="B29" s="1"/>
      <c r="C29" s="6" t="s">
        <v>34</v>
      </c>
      <c r="D29" s="90" t="s">
        <v>114</v>
      </c>
      <c r="E29" s="91"/>
      <c r="F29" s="91"/>
      <c r="G29" s="92"/>
      <c r="H29" s="1"/>
      <c r="I29" s="1"/>
    </row>
    <row r="30" spans="1:9" x14ac:dyDescent="0.25">
      <c r="A30" s="1"/>
      <c r="B30" s="1"/>
      <c r="C30" s="6" t="s">
        <v>35</v>
      </c>
      <c r="D30" s="90" t="s">
        <v>33</v>
      </c>
      <c r="E30" s="91"/>
      <c r="F30" s="91"/>
      <c r="G30" s="92"/>
      <c r="H30" s="1"/>
      <c r="I30" s="1"/>
    </row>
    <row r="31" spans="1:9" x14ac:dyDescent="0.25">
      <c r="A31" s="1"/>
      <c r="B31" s="1"/>
      <c r="C31" s="6" t="s">
        <v>169</v>
      </c>
      <c r="D31" s="93" t="s">
        <v>87</v>
      </c>
      <c r="E31" s="94"/>
      <c r="F31" s="94"/>
      <c r="G31" s="9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2eSWasqEiRSRD49pyEG2pXmt/4ErvtjwbRkEzQzyH8iBaqBJsQDHhDbEL28H5xkFCkdUcnTZMMC1UqHQr0ayIQ==" saltValue="UM/LDt5XB9yO+H6/2jXWYg=="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224</v>
      </c>
      <c r="C8" s="116"/>
      <c r="D8" s="117"/>
      <c r="E8" s="1"/>
      <c r="F8" s="1"/>
    </row>
    <row r="9" spans="1:6" ht="15" customHeight="1" x14ac:dyDescent="0.25">
      <c r="A9" s="1"/>
      <c r="B9" s="27" t="s">
        <v>29</v>
      </c>
      <c r="C9" s="50" t="s">
        <v>225</v>
      </c>
      <c r="D9" s="11"/>
      <c r="E9" s="1"/>
      <c r="F9" s="1"/>
    </row>
    <row r="10" spans="1:6" ht="15" customHeight="1" x14ac:dyDescent="0.25">
      <c r="A10" s="1"/>
      <c r="B10" s="82" t="s">
        <v>274</v>
      </c>
      <c r="C10" s="9">
        <v>1385593</v>
      </c>
      <c r="D10" s="14" t="s">
        <v>3</v>
      </c>
      <c r="E10" s="1"/>
      <c r="F10" s="1"/>
    </row>
    <row r="11" spans="1:6" ht="15" customHeight="1" x14ac:dyDescent="0.25">
      <c r="A11" s="1"/>
      <c r="B11" s="82" t="s">
        <v>275</v>
      </c>
      <c r="C11" s="9">
        <v>98882</v>
      </c>
      <c r="D11" s="14" t="s">
        <v>3</v>
      </c>
      <c r="E11" s="1"/>
      <c r="F11" s="1"/>
    </row>
    <row r="12" spans="1:6" x14ac:dyDescent="0.25">
      <c r="A12" s="1"/>
      <c r="B12" s="82" t="s">
        <v>276</v>
      </c>
      <c r="C12" s="9">
        <v>1730476</v>
      </c>
      <c r="D12" s="14" t="s">
        <v>3</v>
      </c>
      <c r="E12" s="1"/>
      <c r="F12" s="1"/>
    </row>
    <row r="13" spans="1:6" x14ac:dyDescent="0.25">
      <c r="A13" s="1"/>
      <c r="B13" s="82"/>
      <c r="C13" s="9"/>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3214951</v>
      </c>
      <c r="D20" s="13" t="s">
        <v>3</v>
      </c>
      <c r="E20" s="1"/>
      <c r="F20" s="1"/>
    </row>
    <row r="21" spans="1:6" x14ac:dyDescent="0.25">
      <c r="A21" s="1"/>
      <c r="B21" s="33" t="s">
        <v>227</v>
      </c>
      <c r="C21" s="12">
        <f>C20*(1+'Fane 15. Nøgletal'!C16)^2</f>
        <v>3755476.3392966399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5" t="s">
        <v>99</v>
      </c>
      <c r="C24" s="116"/>
      <c r="D24" s="117"/>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5"/>
      <c r="C29" s="116"/>
      <c r="D29" s="117"/>
      <c r="E29" s="1"/>
      <c r="F29" s="1"/>
    </row>
    <row r="30" spans="1:6" x14ac:dyDescent="0.25">
      <c r="A30" s="1"/>
      <c r="B30" s="1"/>
      <c r="C30" s="1"/>
      <c r="D30" s="1"/>
      <c r="E30" s="1"/>
      <c r="F30" s="1"/>
    </row>
    <row r="31" spans="1:6" x14ac:dyDescent="0.25">
      <c r="A31" s="1"/>
      <c r="B31" s="1"/>
      <c r="C31" s="1"/>
      <c r="D31" s="1"/>
      <c r="E31" s="1"/>
      <c r="F31" s="1"/>
    </row>
    <row r="32" spans="1:6" x14ac:dyDescent="0.25">
      <c r="A32" s="1"/>
      <c r="B32" s="115" t="s">
        <v>81</v>
      </c>
      <c r="C32" s="116"/>
      <c r="D32" s="117"/>
      <c r="E32" s="1"/>
      <c r="F32" s="1"/>
    </row>
    <row r="33" spans="1:6" x14ac:dyDescent="0.25">
      <c r="A33" s="1"/>
      <c r="B33" s="82" t="s">
        <v>109</v>
      </c>
      <c r="C33" s="9">
        <v>0</v>
      </c>
      <c r="D33" s="14" t="s">
        <v>3</v>
      </c>
      <c r="E33" s="1"/>
      <c r="F33" s="1"/>
    </row>
    <row r="34" spans="1:6" x14ac:dyDescent="0.25">
      <c r="A34" s="1"/>
      <c r="B34" s="82" t="s">
        <v>123</v>
      </c>
      <c r="C34" s="9">
        <v>0</v>
      </c>
      <c r="D34" s="14" t="s">
        <v>3</v>
      </c>
      <c r="E34" s="1"/>
      <c r="F34" s="1"/>
    </row>
    <row r="35" spans="1:6" x14ac:dyDescent="0.25">
      <c r="A35" s="1"/>
      <c r="B35" s="82" t="s">
        <v>142</v>
      </c>
      <c r="C35" s="9">
        <v>0</v>
      </c>
      <c r="D35" s="14" t="s">
        <v>3</v>
      </c>
      <c r="E35" s="1"/>
      <c r="F35" s="1"/>
    </row>
    <row r="36" spans="1:6" x14ac:dyDescent="0.25">
      <c r="A36" s="1"/>
      <c r="B36" s="34" t="s">
        <v>261</v>
      </c>
      <c r="C36" s="9">
        <v>0</v>
      </c>
      <c r="D36" s="38" t="s">
        <v>3</v>
      </c>
      <c r="E36" s="1"/>
      <c r="F36" s="1"/>
    </row>
    <row r="37" spans="1:6" x14ac:dyDescent="0.25">
      <c r="A37" s="1"/>
      <c r="B37" s="115"/>
      <c r="C37" s="116"/>
      <c r="D37" s="117"/>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GkwX239DxUR/5y5IEWtzk2sGR2OyRJ7MVGL65/rfIAxHoVb0CSuvfnvbnsiU5JzNTT/lMjitUkIK9B6dhlwyiw==" saltValue="DMF0HWTo88NG7qxMOyBC6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905B-EE02-4DA2-AD6C-F24E683034EB}">
  <sheetPr codeName="Ark12"/>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5" t="s">
        <v>137</v>
      </c>
      <c r="C8" s="116"/>
      <c r="D8" s="116"/>
      <c r="E8" s="116"/>
      <c r="F8" s="117"/>
      <c r="G8" s="1"/>
    </row>
    <row r="9" spans="1:7" ht="15" customHeight="1" x14ac:dyDescent="0.25">
      <c r="A9" s="1"/>
      <c r="B9" s="118" t="s">
        <v>277</v>
      </c>
      <c r="C9" s="119"/>
      <c r="D9" s="120"/>
      <c r="E9" s="9">
        <v>1922753</v>
      </c>
      <c r="F9" s="14" t="s">
        <v>3</v>
      </c>
      <c r="G9" s="1"/>
    </row>
    <row r="10" spans="1:7" ht="15" customHeight="1" x14ac:dyDescent="0.25">
      <c r="A10" s="1"/>
      <c r="B10" s="118" t="s">
        <v>143</v>
      </c>
      <c r="C10" s="119"/>
      <c r="D10" s="120"/>
      <c r="E10" s="9">
        <v>-5428372</v>
      </c>
      <c r="F10" s="14" t="s">
        <v>3</v>
      </c>
      <c r="G10" s="1"/>
    </row>
    <row r="11" spans="1:7" ht="15" customHeight="1" x14ac:dyDescent="0.25">
      <c r="A11" s="1"/>
      <c r="B11" s="118" t="s">
        <v>278</v>
      </c>
      <c r="C11" s="119"/>
      <c r="D11" s="120"/>
      <c r="E11" s="9">
        <v>-10663733</v>
      </c>
      <c r="F11" s="14" t="s">
        <v>3</v>
      </c>
      <c r="G11" s="1"/>
    </row>
    <row r="12" spans="1:7" x14ac:dyDescent="0.25">
      <c r="A12" s="1"/>
      <c r="B12" s="33"/>
      <c r="C12" s="28"/>
      <c r="D12" s="28"/>
      <c r="E12" s="28"/>
      <c r="F12" s="19"/>
      <c r="G12" s="1"/>
    </row>
    <row r="13" spans="1:7" ht="42" customHeight="1" x14ac:dyDescent="0.25">
      <c r="A13" s="1"/>
      <c r="B13" s="127" t="s">
        <v>279</v>
      </c>
      <c r="C13" s="128"/>
      <c r="D13" s="128"/>
      <c r="E13" s="128"/>
      <c r="F13" s="129"/>
      <c r="G13" s="1"/>
    </row>
    <row r="14" spans="1:7" ht="15" customHeight="1" x14ac:dyDescent="0.25">
      <c r="A14" s="1"/>
      <c r="B14" s="1"/>
      <c r="C14" s="1"/>
      <c r="D14" s="1"/>
      <c r="E14" s="1"/>
      <c r="F14" s="1"/>
      <c r="G14" s="1"/>
    </row>
    <row r="15" spans="1:7" x14ac:dyDescent="0.25">
      <c r="A15" s="1"/>
      <c r="B15" s="76" t="s">
        <v>280</v>
      </c>
      <c r="C15" s="77"/>
      <c r="D15" s="77"/>
      <c r="E15" s="77"/>
      <c r="F15" s="78"/>
      <c r="G15" s="1"/>
    </row>
    <row r="16" spans="1:7" x14ac:dyDescent="0.25">
      <c r="A16" s="1"/>
      <c r="B16" s="79" t="s">
        <v>281</v>
      </c>
      <c r="C16" s="80"/>
      <c r="D16" s="81"/>
      <c r="E16" s="9">
        <f>IF(E11&lt;0,E11,0)</f>
        <v>-10663733</v>
      </c>
      <c r="F16" s="14" t="s">
        <v>3</v>
      </c>
      <c r="G16" s="1"/>
    </row>
    <row r="17" spans="1:7" x14ac:dyDescent="0.25">
      <c r="A17" s="1"/>
      <c r="B17" s="79" t="s">
        <v>282</v>
      </c>
      <c r="C17" s="80"/>
      <c r="D17" s="81"/>
      <c r="E17" s="9">
        <f>IF(SUM(E10)&gt;0,SUM(E10),0)</f>
        <v>0</v>
      </c>
      <c r="F17" s="14" t="s">
        <v>3</v>
      </c>
      <c r="G17" s="1"/>
    </row>
    <row r="18" spans="1:7" x14ac:dyDescent="0.25">
      <c r="A18" s="1"/>
      <c r="B18" s="83" t="s">
        <v>283</v>
      </c>
      <c r="C18" s="84"/>
      <c r="D18" s="85"/>
      <c r="E18" s="62">
        <f>IF(SUM(E16:E17)&gt;0,0,SUM(E16:E17))</f>
        <v>-10663733</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284</v>
      </c>
      <c r="C21" s="77"/>
      <c r="D21" s="77"/>
      <c r="E21" s="77"/>
      <c r="F21" s="78"/>
      <c r="G21" s="1"/>
    </row>
    <row r="22" spans="1:7" x14ac:dyDescent="0.25">
      <c r="A22" s="1"/>
      <c r="B22" s="79" t="s">
        <v>285</v>
      </c>
      <c r="C22" s="80"/>
      <c r="D22" s="81"/>
      <c r="E22" s="9">
        <v>99110535</v>
      </c>
      <c r="F22" s="14" t="s">
        <v>3</v>
      </c>
      <c r="G22" s="1"/>
    </row>
    <row r="23" spans="1:7" x14ac:dyDescent="0.25">
      <c r="A23" s="1"/>
      <c r="B23" s="79" t="s">
        <v>286</v>
      </c>
      <c r="C23" s="80"/>
      <c r="D23" s="81"/>
      <c r="E23" s="9">
        <v>98669211</v>
      </c>
      <c r="F23" s="14" t="s">
        <v>3</v>
      </c>
      <c r="G23" s="1"/>
    </row>
    <row r="24" spans="1:7" x14ac:dyDescent="0.25">
      <c r="A24" s="1"/>
      <c r="B24" s="79" t="s">
        <v>30</v>
      </c>
      <c r="C24" s="80"/>
      <c r="D24" s="81"/>
      <c r="E24" s="9">
        <v>0</v>
      </c>
      <c r="F24" s="14" t="s">
        <v>3</v>
      </c>
      <c r="G24" s="1"/>
    </row>
    <row r="25" spans="1:7" x14ac:dyDescent="0.25">
      <c r="A25" s="1"/>
      <c r="B25" s="83" t="s">
        <v>287</v>
      </c>
      <c r="C25" s="84"/>
      <c r="D25" s="85"/>
      <c r="E25" s="62">
        <f>E22-E23-E24</f>
        <v>441324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5" t="s">
        <v>288</v>
      </c>
      <c r="C28" s="116"/>
      <c r="D28" s="116"/>
      <c r="E28" s="116"/>
      <c r="F28" s="117"/>
      <c r="G28" s="1"/>
    </row>
    <row r="29" spans="1:7" x14ac:dyDescent="0.25">
      <c r="A29" s="1"/>
      <c r="B29" s="133" t="s">
        <v>116</v>
      </c>
      <c r="C29" s="134"/>
      <c r="D29" s="135"/>
      <c r="E29" s="9">
        <f>IF(E18&lt;0,IF(E25&lt;0,SUM(E18,E25),IF(E10&gt;0,SUM(E10:E11),E18)),IF(AND(E25&lt;0,SUM(E25,E11)&lt;0),IF(E11&lt;0,E25,IF(SUM(E10:E11)&gt;0,SUM(E25,E11),IF(AND(E25&lt;0,E18=0,E11&gt;0),IF(SUM(E9:E11)&gt;0,E25+E11,E25)))),0))</f>
        <v>-10663733</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-5331866.5</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q9xc3NHSRCZ7rGxkHWIKjkEXbNvvClr1gNUexBdAULriAbuaOudQC6zIJ+CmJzleLxRcg+unyVUGgv3fVlvrUw==" saltValue="fY1ThjxpibSN5yX0lv9gFQ=="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5" t="s">
        <v>180</v>
      </c>
      <c r="C18" s="116"/>
      <c r="D18" s="116"/>
      <c r="E18" s="116"/>
      <c r="F18" s="11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SgA/V7BbUqPQKkcXvsBzToHCFdyD8HOMPawYyWjaxvz+XwzezqM+dELad58H11TaEy7XVOmH00G5xhHozALeoA==" saltValue="8TZcNlLZHjVQ++yUKdImBA=="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228</v>
      </c>
      <c r="C9" s="116"/>
      <c r="D9" s="116"/>
      <c r="E9" s="116"/>
      <c r="F9" s="117"/>
      <c r="G9" s="1"/>
    </row>
    <row r="10" spans="1:7" x14ac:dyDescent="0.25">
      <c r="A10" s="1"/>
      <c r="B10" s="127" t="s">
        <v>82</v>
      </c>
      <c r="C10" s="128"/>
      <c r="D10" s="129"/>
      <c r="E10" s="7">
        <v>0</v>
      </c>
      <c r="F10" s="8" t="s">
        <v>3</v>
      </c>
      <c r="G10" s="1"/>
    </row>
    <row r="11" spans="1:7" x14ac:dyDescent="0.25">
      <c r="A11" s="1"/>
      <c r="B11" s="118" t="s">
        <v>229</v>
      </c>
      <c r="C11" s="119"/>
      <c r="D11" s="120"/>
      <c r="E11" s="7">
        <v>0</v>
      </c>
      <c r="F11" s="8" t="s">
        <v>3</v>
      </c>
      <c r="G11" s="1"/>
    </row>
    <row r="12" spans="1:7" x14ac:dyDescent="0.25">
      <c r="A12" s="1"/>
      <c r="B12" s="136" t="s">
        <v>83</v>
      </c>
      <c r="C12" s="137"/>
      <c r="D12" s="138"/>
      <c r="E12" s="10">
        <f>E11-E10</f>
        <v>0</v>
      </c>
      <c r="F12" s="11" t="s">
        <v>3</v>
      </c>
      <c r="G12" s="1"/>
    </row>
    <row r="13" spans="1:7" x14ac:dyDescent="0.25">
      <c r="A13" s="1"/>
      <c r="B13" s="115" t="s">
        <v>78</v>
      </c>
      <c r="C13" s="116"/>
      <c r="D13" s="116"/>
      <c r="E13" s="116"/>
      <c r="F13" s="117"/>
      <c r="G13" s="1"/>
    </row>
    <row r="14" spans="1:7" x14ac:dyDescent="0.25">
      <c r="A14" s="1"/>
      <c r="B14" s="118" t="s">
        <v>230</v>
      </c>
      <c r="C14" s="119"/>
      <c r="D14" s="120"/>
      <c r="E14" s="7">
        <v>0</v>
      </c>
      <c r="F14" s="8" t="s">
        <v>3</v>
      </c>
      <c r="G14" s="1"/>
    </row>
    <row r="15" spans="1:7" x14ac:dyDescent="0.25">
      <c r="A15" s="1"/>
      <c r="B15" s="127" t="s">
        <v>231</v>
      </c>
      <c r="C15" s="128"/>
      <c r="D15" s="129"/>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5FMq8LOKnMZbR0sshzryxf93nzsthEs4vVLm7KsHfvjH/rNP1k663LFZUsLoyEk86WFBe0mAYuOLuLHPNjhjA==" saltValue="LAE0xqsPUxc7vKQAU8Kk2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149</v>
      </c>
      <c r="C8" s="116"/>
      <c r="D8" s="116"/>
      <c r="E8" s="116"/>
      <c r="F8" s="116"/>
      <c r="G8" s="116"/>
      <c r="H8" s="116"/>
      <c r="I8" s="116"/>
      <c r="J8" s="116"/>
      <c r="K8" s="117"/>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45">
        <v>0</v>
      </c>
      <c r="D10" s="9">
        <v>0</v>
      </c>
      <c r="E10" s="14" t="s">
        <v>3</v>
      </c>
      <c r="F10" s="9">
        <f>IFERROR(D10/C10,0)</f>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hQ2eNwItPvsWqlKZlacWNO6gYgYH6nFGlbFXieZuozcggu7KyOALQN8i9M7p/eQIPMVwg86nCIKHgSIpgjdFuA==" saltValue="nQwfeldHyOXyPYAcoe2en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271</v>
      </c>
      <c r="C11" s="21">
        <v>347587</v>
      </c>
      <c r="D11" s="14" t="s">
        <v>3</v>
      </c>
      <c r="E11" s="9">
        <v>1527206</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347587</v>
      </c>
      <c r="D19" s="13" t="s">
        <v>3</v>
      </c>
      <c r="E19" s="12">
        <f>SUM(E10:E18)</f>
        <v>1527206</v>
      </c>
      <c r="F19" s="13" t="s">
        <v>3</v>
      </c>
      <c r="G19" s="1"/>
    </row>
    <row r="20" spans="1:7" x14ac:dyDescent="0.25">
      <c r="A20" s="1"/>
      <c r="B20" s="33" t="s">
        <v>233</v>
      </c>
      <c r="C20" s="12">
        <f>C19*(1+'Fane 15. Nøgletal'!C16)</f>
        <v>375672.02960000001</v>
      </c>
      <c r="D20" s="13" t="s">
        <v>3</v>
      </c>
      <c r="E20" s="12">
        <f>E19*(1+'Fane 15. Nøgletal'!C16)</f>
        <v>1650604.2448</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3y4iPudM+IQmsxWFmrsGy5Gc5KujGY1r21agq2zZySMkao2OsWzzJSUKoxDyIw/RqvKZQpAMlxTl/feQElK/9w==" saltValue="aFNCE/9vdyFGIG3METbOY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260</v>
      </c>
      <c r="C8" s="116"/>
      <c r="D8" s="116"/>
      <c r="E8" s="116"/>
      <c r="F8" s="117"/>
      <c r="G8" s="1"/>
    </row>
    <row r="9" spans="1:7" x14ac:dyDescent="0.25">
      <c r="A9" s="1"/>
      <c r="B9" s="87" t="s">
        <v>17</v>
      </c>
      <c r="C9" s="87" t="s">
        <v>11</v>
      </c>
      <c r="D9" s="88"/>
      <c r="E9" s="87" t="s">
        <v>28</v>
      </c>
      <c r="F9" s="32"/>
      <c r="G9" s="1"/>
    </row>
    <row r="10" spans="1:7" x14ac:dyDescent="0.25">
      <c r="A10" s="1"/>
      <c r="B10" s="24" t="s">
        <v>273</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5Rs/An/WBXCxeJrZrLq7vmMTyqVp7K8opC4cOEVRiDiF4d7ichSrsbiFk7y9GO7WU2QzEVH/pvh94HINMmH+w==" saltValue="FYWCx6XkrbmotCY91+6A4Q=="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5" t="s">
        <v>110</v>
      </c>
      <c r="C9" s="116"/>
      <c r="D9" s="116"/>
      <c r="E9" s="116"/>
      <c r="F9" s="117"/>
      <c r="G9" s="1"/>
    </row>
    <row r="10" spans="1:7" x14ac:dyDescent="0.25">
      <c r="A10" s="1"/>
      <c r="B10" s="142" t="s">
        <v>236</v>
      </c>
      <c r="C10" s="143"/>
      <c r="D10" s="144"/>
      <c r="E10" s="9">
        <v>0</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0</v>
      </c>
      <c r="F12" s="14" t="s">
        <v>3</v>
      </c>
      <c r="G12" s="1"/>
    </row>
    <row r="13" spans="1:7" x14ac:dyDescent="0.25">
      <c r="A13" s="1"/>
      <c r="B13" s="115" t="s">
        <v>111</v>
      </c>
      <c r="C13" s="116"/>
      <c r="D13" s="117"/>
      <c r="E13" s="12">
        <f>SUM(E10:E12)*(1+'Fane 15. Nøgletal'!C16)^2</f>
        <v>0</v>
      </c>
      <c r="F13" s="13" t="s">
        <v>3</v>
      </c>
      <c r="G13" s="1"/>
    </row>
    <row r="14" spans="1:7" x14ac:dyDescent="0.25">
      <c r="A14" s="1"/>
      <c r="B14" s="1"/>
      <c r="C14" s="1"/>
      <c r="D14" s="1"/>
      <c r="E14" s="1"/>
      <c r="F14" s="1"/>
      <c r="G14" s="1"/>
    </row>
    <row r="15" spans="1:7" ht="15" customHeight="1" x14ac:dyDescent="0.25">
      <c r="A15" s="1"/>
      <c r="B15" s="115" t="s">
        <v>124</v>
      </c>
      <c r="C15" s="116"/>
      <c r="D15" s="116"/>
      <c r="E15" s="116"/>
      <c r="F15" s="117"/>
      <c r="G15" s="1"/>
    </row>
    <row r="16" spans="1:7" x14ac:dyDescent="0.25">
      <c r="A16" s="1"/>
      <c r="B16" s="142" t="s">
        <v>236</v>
      </c>
      <c r="C16" s="143"/>
      <c r="D16" s="144"/>
      <c r="E16" s="9">
        <v>0</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0</v>
      </c>
      <c r="F18" s="14" t="s">
        <v>3</v>
      </c>
      <c r="G18" s="1"/>
    </row>
    <row r="19" spans="1:7" x14ac:dyDescent="0.25">
      <c r="A19" s="1"/>
      <c r="B19" s="115" t="s">
        <v>125</v>
      </c>
      <c r="C19" s="116"/>
      <c r="D19" s="117"/>
      <c r="E19" s="12">
        <f>SUM(E16:E18)*(1+'Fane 15. Nøgletal'!C16)^3</f>
        <v>0</v>
      </c>
      <c r="F19" s="13" t="s">
        <v>3</v>
      </c>
      <c r="G19" s="1"/>
    </row>
    <row r="20" spans="1:7" x14ac:dyDescent="0.25">
      <c r="A20" s="1"/>
      <c r="B20" s="1"/>
      <c r="C20" s="1"/>
      <c r="D20" s="1"/>
      <c r="E20" s="1"/>
      <c r="F20" s="1"/>
      <c r="G20" s="1"/>
    </row>
    <row r="21" spans="1:7" ht="15" customHeight="1" x14ac:dyDescent="0.25">
      <c r="A21" s="1"/>
      <c r="B21" s="115" t="s">
        <v>145</v>
      </c>
      <c r="C21" s="116"/>
      <c r="D21" s="116"/>
      <c r="E21" s="116"/>
      <c r="F21" s="117"/>
      <c r="G21" s="1"/>
    </row>
    <row r="22" spans="1:7" x14ac:dyDescent="0.25">
      <c r="A22" s="1"/>
      <c r="B22" s="142" t="s">
        <v>236</v>
      </c>
      <c r="C22" s="143"/>
      <c r="D22" s="144"/>
      <c r="E22" s="9">
        <v>0</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0</v>
      </c>
      <c r="F24" s="14" t="s">
        <v>3</v>
      </c>
      <c r="G24" s="1"/>
    </row>
    <row r="25" spans="1:7" x14ac:dyDescent="0.25">
      <c r="A25" s="1"/>
      <c r="B25" s="115" t="s">
        <v>146</v>
      </c>
      <c r="C25" s="116"/>
      <c r="D25" s="117"/>
      <c r="E25" s="12">
        <f>SUM(E22:E24)*(1+'Fane 15. Nøgletal'!C16)^4</f>
        <v>0</v>
      </c>
      <c r="F25" s="13" t="s">
        <v>3</v>
      </c>
      <c r="G25" s="1"/>
    </row>
    <row r="26" spans="1:7" x14ac:dyDescent="0.25">
      <c r="A26" s="1"/>
      <c r="B26" s="1"/>
      <c r="C26" s="1"/>
      <c r="D26" s="1"/>
      <c r="E26" s="1"/>
      <c r="F26" s="1"/>
      <c r="G26" s="1"/>
    </row>
    <row r="27" spans="1:7" ht="15" customHeight="1" x14ac:dyDescent="0.25">
      <c r="A27" s="1"/>
      <c r="B27" s="115" t="s">
        <v>237</v>
      </c>
      <c r="C27" s="116"/>
      <c r="D27" s="116"/>
      <c r="E27" s="116"/>
      <c r="F27" s="117"/>
      <c r="G27" s="1"/>
    </row>
    <row r="28" spans="1:7" ht="14.25" customHeight="1" x14ac:dyDescent="0.25">
      <c r="A28" s="1"/>
      <c r="B28" s="142" t="s">
        <v>236</v>
      </c>
      <c r="C28" s="143"/>
      <c r="D28" s="144"/>
      <c r="E28" s="9">
        <v>0</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0</v>
      </c>
      <c r="F30" s="14" t="s">
        <v>3</v>
      </c>
      <c r="G30" s="1"/>
    </row>
    <row r="31" spans="1:7" x14ac:dyDescent="0.25">
      <c r="A31" s="1"/>
      <c r="B31" s="115" t="s">
        <v>238</v>
      </c>
      <c r="C31" s="116"/>
      <c r="D31" s="117"/>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30WZ0h5ce5srwvtDNnNBizqGnfJvVhDZYTisaroBWOBaQPT82Bygn8w8QnVIHatO4T9hvTunXI1c3IkWCqGGg==" saltValue="K/7vgpHmwkV3PaQDNxuvf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112</v>
      </c>
      <c r="C8" s="116"/>
      <c r="D8" s="116"/>
      <c r="E8" s="116"/>
      <c r="F8" s="117"/>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xD0SBkBho5Fri7hmACJ0iGwNSr4rPPiRZ/Vu7oYv0M3Vp+QvYl0ymXi+/+ERqC0bNtqKp4s8OIGMQTVLvOHQrg==" saltValue="DzohqlQ5UbdeLviiRcFTd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240</v>
      </c>
      <c r="C9" s="116"/>
      <c r="D9" s="116"/>
      <c r="E9" s="116"/>
      <c r="F9" s="117"/>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5vsq+lImWASCTaeSj0KqC05joMvW6eOApExRQ8rVLhWJnC6W5resTmjadsOI8msOmWM7ipvHWTy7+Fnki+xKQ==" saltValue="BuVl3Xaw1Lf0FIWupgM7a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98440127.242932588</v>
      </c>
      <c r="D9" s="8" t="s">
        <v>3</v>
      </c>
      <c r="E9" s="1"/>
    </row>
    <row r="10" spans="1:5" ht="17.25" customHeight="1" x14ac:dyDescent="0.25">
      <c r="A10" s="1"/>
      <c r="B10" s="89" t="s">
        <v>36</v>
      </c>
      <c r="C10" s="7">
        <f>'Fane 11.1. Varige tillæg'!C20</f>
        <v>375672.02960000001</v>
      </c>
      <c r="D10" s="8" t="s">
        <v>3</v>
      </c>
      <c r="E10" s="1"/>
    </row>
    <row r="11" spans="1:5" ht="17.25" customHeight="1" x14ac:dyDescent="0.25">
      <c r="A11" s="1"/>
      <c r="B11" s="89" t="s">
        <v>37</v>
      </c>
      <c r="C11" s="9">
        <f>'Fane 11.1. Varige tillæg'!E20</f>
        <v>1650604.2448</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8117685.4042004729</v>
      </c>
      <c r="D16" s="8" t="s">
        <v>3</v>
      </c>
      <c r="E16" s="1"/>
    </row>
    <row r="17" spans="1:5" ht="17.25" customHeight="1" x14ac:dyDescent="0.25">
      <c r="A17" s="1"/>
      <c r="B17" s="89" t="s">
        <v>10</v>
      </c>
      <c r="C17" s="41">
        <f>-SUM(C9,C10:C16)*'Fane 5. Individuelt eff. krav'!G9</f>
        <v>-1486120.5245103992</v>
      </c>
      <c r="D17" s="8" t="s">
        <v>3</v>
      </c>
      <c r="E17" s="1"/>
    </row>
    <row r="18" spans="1:5" ht="17.25" customHeight="1" x14ac:dyDescent="0.25">
      <c r="A18" s="1"/>
      <c r="B18" s="89" t="s">
        <v>23</v>
      </c>
      <c r="C18" s="41">
        <f>-'Fane 4.1. Gen. krav - drift'!G54</f>
        <v>-682661.30100432888</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106415307.09601833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3755476.3392966399</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9" t="s">
        <v>158</v>
      </c>
      <c r="C26" s="72">
        <f>'Fane 11.2. Engangstillæg'!C14</f>
        <v>0</v>
      </c>
      <c r="D26" s="8" t="s">
        <v>3</v>
      </c>
      <c r="E26" s="1"/>
    </row>
    <row r="27" spans="1:5" ht="15" customHeight="1" x14ac:dyDescent="0.25">
      <c r="A27" s="1"/>
      <c r="B27" s="89" t="s">
        <v>70</v>
      </c>
      <c r="C27" s="72">
        <f>'Fane 11.2. Engangstillæg'!E14</f>
        <v>0</v>
      </c>
      <c r="D27" s="8" t="s">
        <v>3</v>
      </c>
      <c r="E27" s="1"/>
    </row>
    <row r="28" spans="1:5" ht="15" customHeight="1" x14ac:dyDescent="0.25">
      <c r="A28" s="1"/>
      <c r="B28" s="89" t="s">
        <v>161</v>
      </c>
      <c r="C28" s="72">
        <f>-C26*('Fane 15. Nøgletal'!C33+'Fane 5. Individuelt eff. krav'!G9)</f>
        <v>0</v>
      </c>
      <c r="D28" s="8" t="s">
        <v>3</v>
      </c>
      <c r="E28" s="1"/>
    </row>
    <row r="29" spans="1:5" ht="15" customHeight="1" x14ac:dyDescent="0.25">
      <c r="A29" s="1"/>
      <c r="B29" s="89"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-5331866.5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289</v>
      </c>
      <c r="C37" s="28"/>
      <c r="D37" s="19"/>
      <c r="E37" s="1"/>
    </row>
    <row r="38" spans="1:5" x14ac:dyDescent="0.25">
      <c r="A38" s="1"/>
      <c r="B38" s="70" t="s">
        <v>290</v>
      </c>
      <c r="C38" s="10">
        <v>804322.47216078779</v>
      </c>
      <c r="D38" s="11" t="s">
        <v>3</v>
      </c>
      <c r="E38" s="1"/>
    </row>
    <row r="39" spans="1:5" x14ac:dyDescent="0.25">
      <c r="A39" s="1"/>
      <c r="B39" s="33" t="s">
        <v>108</v>
      </c>
      <c r="C39" s="49">
        <f>SUM(C34,C32,C24,C30,C22,C20,C36,C38)</f>
        <v>105643239.40747575</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G2t0Y7QCdlOMAf7NtUqpZNWwEsOrhgtu/8vtdLwFNlGZay6CiebJsLERLpKAAj5HlcnbcyiKfLrRuGlou6eMeA==" saltValue="6dR8nJwp4Z3hDaVJTXOHa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igm+EoT4gbMe7QA8HwKLy7X3gtIUxdsj1zQmQQeie6B+sRWfMGFUvP0Ea8t2GhvssbFT744Mjfd6mZtwh5sbHA==" saltValue="U8oIgDJuKknwxWrro8U9n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106415307.09601833</v>
      </c>
      <c r="D9" s="8" t="s">
        <v>3</v>
      </c>
      <c r="E9" s="1"/>
    </row>
    <row r="10" spans="1:5" ht="15" customHeight="1" x14ac:dyDescent="0.25">
      <c r="A10" s="1"/>
      <c r="B10" s="26" t="s">
        <v>19</v>
      </c>
      <c r="C10" s="7">
        <f>SUM(C9:C9)*'Fane 15. Nøgletal'!C16</f>
        <v>8598356.8133582808</v>
      </c>
      <c r="D10" s="8" t="s">
        <v>3</v>
      </c>
      <c r="E10" s="1"/>
    </row>
    <row r="11" spans="1:5" ht="15" customHeight="1" x14ac:dyDescent="0.25">
      <c r="A11" s="1"/>
      <c r="B11" s="26" t="s">
        <v>10</v>
      </c>
      <c r="C11" s="9">
        <f>-SUM(C9:C10)*'Fane 5. Individuelt eff. krav'!G9</f>
        <v>-1574117.9783566794</v>
      </c>
      <c r="D11" s="8" t="s">
        <v>3</v>
      </c>
      <c r="E11" s="1"/>
    </row>
    <row r="12" spans="1:5" ht="15" customHeight="1" x14ac:dyDescent="0.25">
      <c r="A12" s="1"/>
      <c r="B12" s="26" t="s">
        <v>23</v>
      </c>
      <c r="C12" s="9">
        <f>-'Fane 4.1. Gen. krav - drift'!G59</f>
        <v>-723063.92744296906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112716482.00357696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4058918.8275118084</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-5331866.5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111443534.33108877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lyQm6I3B5ICt5rdsDHD0RKEB+a7FQPDGcwQfFNhw5rBVIwfYjS0Oz8lpjwKYnSGgzSXU5tZY4SeQKUx0K3dFcQ==" saltValue="Zg56fvJBb+JoBJa7nLo7x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112716482.00357696</v>
      </c>
      <c r="D9" s="8" t="s">
        <v>3</v>
      </c>
      <c r="E9" s="1"/>
    </row>
    <row r="10" spans="1:5" ht="15" customHeight="1" x14ac:dyDescent="0.25">
      <c r="A10" s="1"/>
      <c r="B10" s="26" t="s">
        <v>19</v>
      </c>
      <c r="C10" s="7">
        <f>SUM(C9:C9)*'Fane 15. Nøgletal'!C16</f>
        <v>9107491.7458890192</v>
      </c>
      <c r="D10" s="8" t="s">
        <v>3</v>
      </c>
      <c r="E10" s="1"/>
    </row>
    <row r="11" spans="1:5" ht="15" customHeight="1" x14ac:dyDescent="0.25">
      <c r="A11" s="1"/>
      <c r="B11" s="26" t="s">
        <v>10</v>
      </c>
      <c r="C11" s="9">
        <f>-SUM(C9:C10)*'Fane 5. Individuelt eff. krav'!G9</f>
        <v>-1667326.3050291603</v>
      </c>
      <c r="D11" s="8" t="s">
        <v>3</v>
      </c>
      <c r="E11" s="1"/>
    </row>
    <row r="12" spans="1:5" ht="15" customHeight="1" x14ac:dyDescent="0.25">
      <c r="A12" s="1"/>
      <c r="B12" s="26" t="s">
        <v>23</v>
      </c>
      <c r="C12" s="9">
        <f>-'Fane 4.1. Gen. krav - drift'!G64</f>
        <v>-765857.74292475369</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119390789.70151208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4386879.468774762</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123777669.17028685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L5OIrB1PoAE8/vobJCOw1vfmsOb7OZeLzJQ4WNLWXcyqe/wF07JyRgE23lWrb1RNOeTHfV3BOdpf6K1a90UiA==" saltValue="uwDtlSsGH+PKX40N5vidn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119390789.70151208</v>
      </c>
      <c r="D9" s="8" t="s">
        <v>3</v>
      </c>
      <c r="E9" s="1"/>
      <c r="F9" s="1"/>
    </row>
    <row r="10" spans="1:6" ht="15" customHeight="1" x14ac:dyDescent="0.25">
      <c r="A10" s="1"/>
      <c r="B10" s="26" t="s">
        <v>19</v>
      </c>
      <c r="C10" s="7">
        <f>SUM(C9:C9)*'Fane 15. Nøgletal'!C16</f>
        <v>9646775.8078821767</v>
      </c>
      <c r="D10" s="8" t="s">
        <v>3</v>
      </c>
      <c r="E10" s="1"/>
      <c r="F10" s="1"/>
    </row>
    <row r="11" spans="1:6" ht="15" customHeight="1" x14ac:dyDescent="0.25">
      <c r="A11" s="1"/>
      <c r="B11" s="26" t="s">
        <v>10</v>
      </c>
      <c r="C11" s="9">
        <f>-SUM(C9:C10)*'Fane 5. Individuelt eff. krav'!G9</f>
        <v>-1766054.0917274063</v>
      </c>
      <c r="D11" s="8" t="s">
        <v>3</v>
      </c>
      <c r="E11" s="1"/>
      <c r="F11" s="1"/>
    </row>
    <row r="12" spans="1:6" ht="15" customHeight="1" x14ac:dyDescent="0.25">
      <c r="A12" s="1"/>
      <c r="B12" s="26" t="s">
        <v>23</v>
      </c>
      <c r="C12" s="9">
        <f>-'Fane 4.1. Gen. krav - drift'!G69</f>
        <v>-811184.26758201234</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126460327.15008484</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4741339.3298517633</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131201666.4799366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lwyT5teXhGAG9BAGDvUOF37jrHuOpbl6S3xMMjjilZmVxmmvWT6+waZIrSSzZpvrsmrA1+4VMVgSPyzvoN5bXg==" saltValue="B16t1oJXdbqhsCehvXcyZ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97226511.268459216</v>
      </c>
      <c r="D9" s="8" t="s">
        <v>3</v>
      </c>
      <c r="E9" s="1"/>
    </row>
    <row r="10" spans="1:5" x14ac:dyDescent="0.25">
      <c r="A10" s="1"/>
      <c r="B10" s="89" t="s">
        <v>36</v>
      </c>
      <c r="C10" s="7">
        <v>100257.4716</v>
      </c>
      <c r="D10" s="8" t="s">
        <v>3</v>
      </c>
      <c r="E10" s="1"/>
    </row>
    <row r="11" spans="1:5" x14ac:dyDescent="0.25">
      <c r="A11" s="1"/>
      <c r="B11" s="89" t="s">
        <v>37</v>
      </c>
      <c r="C11" s="9">
        <v>4325285.1304400004</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478396.80381853943</v>
      </c>
      <c r="D16" s="8" t="s">
        <v>3</v>
      </c>
      <c r="E16" s="1"/>
    </row>
    <row r="17" spans="1:5" x14ac:dyDescent="0.25">
      <c r="A17" s="1"/>
      <c r="B17" s="89" t="s">
        <v>10</v>
      </c>
      <c r="C17" s="41">
        <v>-1912458.5457580073</v>
      </c>
      <c r="D17" s="8" t="s">
        <v>3</v>
      </c>
      <c r="E17" s="1"/>
    </row>
    <row r="18" spans="1:5" x14ac:dyDescent="0.25">
      <c r="A18" s="1"/>
      <c r="B18" s="89" t="s">
        <v>23</v>
      </c>
      <c r="C18" s="41">
        <v>-636849.47507939627</v>
      </c>
      <c r="D18" s="8" t="s">
        <v>3</v>
      </c>
      <c r="E18" s="1"/>
    </row>
    <row r="19" spans="1:5" x14ac:dyDescent="0.25">
      <c r="A19" s="1"/>
      <c r="B19" s="89" t="s">
        <v>24</v>
      </c>
      <c r="C19" s="41">
        <v>-1141015.4105477452</v>
      </c>
      <c r="D19" s="8" t="s">
        <v>3</v>
      </c>
      <c r="E19" s="47"/>
    </row>
    <row r="20" spans="1:5" x14ac:dyDescent="0.25">
      <c r="A20" s="1"/>
      <c r="B20" s="83" t="s">
        <v>21</v>
      </c>
      <c r="C20" s="10">
        <v>98440127.242932588</v>
      </c>
      <c r="D20" s="11" t="s">
        <v>3</v>
      </c>
      <c r="E20" s="1"/>
    </row>
    <row r="21" spans="1:5" x14ac:dyDescent="0.25">
      <c r="A21" s="1"/>
      <c r="B21" s="33" t="s">
        <v>12</v>
      </c>
      <c r="C21" s="28"/>
      <c r="D21" s="19"/>
      <c r="E21" s="1"/>
    </row>
    <row r="22" spans="1:5" x14ac:dyDescent="0.25">
      <c r="A22" s="1"/>
      <c r="B22" s="31" t="s">
        <v>12</v>
      </c>
      <c r="C22" s="10">
        <v>2233299.5956598404</v>
      </c>
      <c r="D22" s="11" t="s">
        <v>3</v>
      </c>
      <c r="E22" s="1"/>
    </row>
    <row r="23" spans="1:5" x14ac:dyDescent="0.25">
      <c r="A23" s="1"/>
      <c r="B23" s="33" t="s">
        <v>74</v>
      </c>
      <c r="C23" s="28"/>
      <c r="D23" s="19"/>
      <c r="E23" s="1"/>
    </row>
    <row r="24" spans="1:5" x14ac:dyDescent="0.25">
      <c r="A24" s="1"/>
      <c r="B24" s="83" t="s">
        <v>74</v>
      </c>
      <c r="C24" s="10">
        <v>0</v>
      </c>
      <c r="D24" s="11" t="s">
        <v>3</v>
      </c>
      <c r="E24" s="1"/>
    </row>
    <row r="25" spans="1:5" x14ac:dyDescent="0.25">
      <c r="A25" s="1"/>
      <c r="B25" s="44" t="s">
        <v>73</v>
      </c>
      <c r="C25" s="42"/>
      <c r="D25" s="43"/>
      <c r="E25" s="1"/>
    </row>
    <row r="26" spans="1:5" x14ac:dyDescent="0.25">
      <c r="A26" s="1"/>
      <c r="B26" s="89" t="s">
        <v>158</v>
      </c>
      <c r="C26" s="69">
        <v>0</v>
      </c>
      <c r="D26" s="8" t="s">
        <v>3</v>
      </c>
      <c r="E26" s="1"/>
    </row>
    <row r="27" spans="1:5" x14ac:dyDescent="0.25">
      <c r="A27" s="1"/>
      <c r="B27" s="89" t="s">
        <v>70</v>
      </c>
      <c r="C27" s="69">
        <v>0</v>
      </c>
      <c r="D27" s="8" t="s">
        <v>3</v>
      </c>
      <c r="E27" s="1"/>
    </row>
    <row r="28" spans="1:5" x14ac:dyDescent="0.25">
      <c r="A28" s="1"/>
      <c r="B28" s="89" t="s">
        <v>161</v>
      </c>
      <c r="C28" s="69">
        <v>0</v>
      </c>
      <c r="D28" s="8" t="s">
        <v>3</v>
      </c>
      <c r="E28" s="1"/>
    </row>
    <row r="29" spans="1:5" x14ac:dyDescent="0.25">
      <c r="A29" s="1"/>
      <c r="B29" s="89"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100673426.83859242</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RbsCo/Qo8U6A/CJkcLCxUXOap0lyYjvOiQMWmu6zTzhnR8QlJlrNZUCnsePc6YaaIM+yYsaAQt+Dz9vhG7JNHw==" saltValue="27c02CYlQoNaxEG8KlGH2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5" t="s">
        <v>46</v>
      </c>
      <c r="C4" s="116"/>
      <c r="D4" s="116"/>
      <c r="E4" s="116"/>
      <c r="F4" s="116"/>
      <c r="G4" s="116"/>
      <c r="H4" s="117"/>
      <c r="I4" s="1"/>
    </row>
    <row r="5" spans="1:9" x14ac:dyDescent="0.25">
      <c r="A5" s="1"/>
      <c r="B5" s="118" t="s">
        <v>38</v>
      </c>
      <c r="C5" s="119"/>
      <c r="D5" s="119"/>
      <c r="E5" s="119"/>
      <c r="F5" s="120"/>
      <c r="G5" s="63">
        <v>33064096</v>
      </c>
      <c r="H5" s="14" t="s">
        <v>3</v>
      </c>
      <c r="I5" s="1"/>
    </row>
    <row r="6" spans="1:9" x14ac:dyDescent="0.25">
      <c r="A6" s="1"/>
      <c r="B6" s="127" t="s">
        <v>102</v>
      </c>
      <c r="C6" s="128"/>
      <c r="D6" s="128"/>
      <c r="E6" s="128"/>
      <c r="F6" s="129"/>
      <c r="G6" s="66">
        <v>0</v>
      </c>
      <c r="H6" s="14" t="s">
        <v>3</v>
      </c>
      <c r="I6" s="1"/>
    </row>
    <row r="7" spans="1:9" x14ac:dyDescent="0.25">
      <c r="A7" s="1"/>
      <c r="B7" s="118" t="s">
        <v>39</v>
      </c>
      <c r="C7" s="119"/>
      <c r="D7" s="119"/>
      <c r="E7" s="119"/>
      <c r="F7" s="120"/>
      <c r="G7" s="23">
        <f>SUM(G5:G6)*'Fane 15. Nøgletal'!C33</f>
        <v>661281.92000000004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5" t="s">
        <v>47</v>
      </c>
      <c r="C10" s="116"/>
      <c r="D10" s="116"/>
      <c r="E10" s="116"/>
      <c r="F10" s="116"/>
      <c r="G10" s="116"/>
      <c r="H10" s="117"/>
      <c r="I10" s="1"/>
    </row>
    <row r="11" spans="1:9" x14ac:dyDescent="0.25">
      <c r="A11" s="1"/>
      <c r="B11" s="118" t="s">
        <v>40</v>
      </c>
      <c r="C11" s="119"/>
      <c r="D11" s="119"/>
      <c r="E11" s="119"/>
      <c r="F11" s="120"/>
      <c r="G11" s="23">
        <f>(G5-G7)*(1+'Fane 15. Nøgletal'!C10)</f>
        <v>32969863.326400001</v>
      </c>
      <c r="H11" s="14" t="s">
        <v>3</v>
      </c>
      <c r="I11" s="1"/>
    </row>
    <row r="12" spans="1:9" ht="15" customHeight="1" x14ac:dyDescent="0.25">
      <c r="A12" s="1"/>
      <c r="B12" s="118" t="s">
        <v>103</v>
      </c>
      <c r="C12" s="119"/>
      <c r="D12" s="119"/>
      <c r="E12" s="119"/>
      <c r="F12" s="120"/>
      <c r="G12" s="66">
        <v>0.33474496857263153</v>
      </c>
      <c r="H12" s="14" t="s">
        <v>3</v>
      </c>
      <c r="I12" s="1"/>
    </row>
    <row r="13" spans="1:9" x14ac:dyDescent="0.25">
      <c r="A13" s="1"/>
      <c r="B13" s="127" t="s">
        <v>100</v>
      </c>
      <c r="C13" s="128"/>
      <c r="D13" s="128"/>
      <c r="E13" s="128"/>
      <c r="F13" s="129"/>
      <c r="G13" s="66">
        <v>0</v>
      </c>
      <c r="H13" s="14" t="s">
        <v>3</v>
      </c>
      <c r="I13" s="1"/>
    </row>
    <row r="14" spans="1:9" x14ac:dyDescent="0.25">
      <c r="A14" s="1"/>
      <c r="B14" s="124" t="s">
        <v>244</v>
      </c>
      <c r="C14" s="125"/>
      <c r="D14" s="125"/>
      <c r="E14" s="125"/>
      <c r="F14" s="126"/>
      <c r="G14" s="66">
        <v>0</v>
      </c>
      <c r="H14" s="14" t="s">
        <v>3</v>
      </c>
      <c r="I14" s="1"/>
    </row>
    <row r="15" spans="1:9" x14ac:dyDescent="0.25">
      <c r="A15" s="1"/>
      <c r="B15" s="118" t="s">
        <v>41</v>
      </c>
      <c r="C15" s="119"/>
      <c r="D15" s="119"/>
      <c r="E15" s="119"/>
      <c r="F15" s="120"/>
      <c r="G15" s="23">
        <f>SUM(G11:G14)*'Fane 15. Nøgletal'!C33</f>
        <v>659397.27322289941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5" t="s">
        <v>48</v>
      </c>
      <c r="C18" s="116"/>
      <c r="D18" s="116"/>
      <c r="E18" s="116"/>
      <c r="F18" s="116"/>
      <c r="G18" s="116"/>
      <c r="H18" s="117"/>
      <c r="I18" s="1"/>
    </row>
    <row r="19" spans="1:9" x14ac:dyDescent="0.25">
      <c r="A19" s="1"/>
      <c r="B19" s="118" t="s">
        <v>42</v>
      </c>
      <c r="C19" s="119"/>
      <c r="D19" s="119"/>
      <c r="E19" s="119"/>
      <c r="F19" s="120"/>
      <c r="G19" s="23">
        <f>(SUM(G11:G12,G14)-(G15))*(1+'Fane 15. Nøgletal'!C10)</f>
        <v>32875899.549710706</v>
      </c>
      <c r="H19" s="14" t="s">
        <v>3</v>
      </c>
      <c r="I19" s="1"/>
    </row>
    <row r="20" spans="1:9" x14ac:dyDescent="0.25">
      <c r="A20" s="1"/>
      <c r="B20" s="124" t="s">
        <v>245</v>
      </c>
      <c r="C20" s="125"/>
      <c r="D20" s="125"/>
      <c r="E20" s="125"/>
      <c r="F20" s="126"/>
      <c r="G20" s="66">
        <v>0</v>
      </c>
      <c r="H20" s="14" t="s">
        <v>3</v>
      </c>
      <c r="I20" s="1"/>
    </row>
    <row r="21" spans="1:9" x14ac:dyDescent="0.25">
      <c r="A21" s="1"/>
      <c r="B21" s="118" t="s">
        <v>43</v>
      </c>
      <c r="C21" s="119"/>
      <c r="D21" s="119"/>
      <c r="E21" s="119"/>
      <c r="F21" s="120"/>
      <c r="G21" s="23">
        <f>SUM(G19:G20)*'Fane 15. Nøgletal'!C33</f>
        <v>657517.99099421408</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5" t="s">
        <v>49</v>
      </c>
      <c r="C24" s="116"/>
      <c r="D24" s="116"/>
      <c r="E24" s="116"/>
      <c r="F24" s="116"/>
      <c r="G24" s="116"/>
      <c r="H24" s="117"/>
      <c r="I24" s="1"/>
    </row>
    <row r="25" spans="1:9" x14ac:dyDescent="0.25">
      <c r="A25" s="1"/>
      <c r="B25" s="118" t="s">
        <v>44</v>
      </c>
      <c r="C25" s="119"/>
      <c r="D25" s="119"/>
      <c r="E25" s="119"/>
      <c r="F25" s="120"/>
      <c r="G25" s="23">
        <f>(G19+G20-G21)*(1+'Fane 15. Nøgletal'!C12)</f>
        <v>32853083.675423209</v>
      </c>
      <c r="H25" s="14" t="s">
        <v>3</v>
      </c>
      <c r="I25" s="1"/>
    </row>
    <row r="26" spans="1:9" x14ac:dyDescent="0.25">
      <c r="A26" s="1"/>
      <c r="B26" s="124" t="s">
        <v>246</v>
      </c>
      <c r="C26" s="125"/>
      <c r="D26" s="125"/>
      <c r="E26" s="125"/>
      <c r="F26" s="126"/>
      <c r="G26" s="66">
        <v>0</v>
      </c>
      <c r="H26" s="14" t="s">
        <v>3</v>
      </c>
      <c r="I26" s="1"/>
    </row>
    <row r="27" spans="1:9" x14ac:dyDescent="0.25">
      <c r="A27" s="1"/>
      <c r="B27" s="118" t="s">
        <v>45</v>
      </c>
      <c r="C27" s="119"/>
      <c r="D27" s="119"/>
      <c r="E27" s="119"/>
      <c r="F27" s="120"/>
      <c r="G27" s="23">
        <f>(G25+G26)*'Fane 15. Nøgletal'!C33</f>
        <v>657061.67350846424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5" t="s">
        <v>52</v>
      </c>
      <c r="C30" s="116"/>
      <c r="D30" s="116"/>
      <c r="E30" s="116"/>
      <c r="F30" s="116"/>
      <c r="G30" s="116"/>
      <c r="H30" s="117"/>
      <c r="I30" s="1"/>
    </row>
    <row r="31" spans="1:9" x14ac:dyDescent="0.25">
      <c r="A31" s="1"/>
      <c r="B31" s="118" t="s">
        <v>53</v>
      </c>
      <c r="C31" s="119"/>
      <c r="D31" s="119"/>
      <c r="E31" s="119"/>
      <c r="F31" s="120"/>
      <c r="G31" s="23">
        <f>(G25+G26-G27)*(1+'Fane 15. Nøgletal'!C12)</f>
        <v>32830283.635352466</v>
      </c>
      <c r="H31" s="14" t="s">
        <v>3</v>
      </c>
      <c r="I31" s="1"/>
    </row>
    <row r="32" spans="1:9" x14ac:dyDescent="0.25">
      <c r="A32" s="1"/>
      <c r="B32" s="118" t="s">
        <v>243</v>
      </c>
      <c r="C32" s="119"/>
      <c r="D32" s="119"/>
      <c r="E32" s="119"/>
      <c r="F32" s="120"/>
      <c r="G32" s="63">
        <v>0</v>
      </c>
      <c r="H32" s="14" t="s">
        <v>3</v>
      </c>
      <c r="I32" s="1"/>
    </row>
    <row r="33" spans="1:9" x14ac:dyDescent="0.25">
      <c r="A33" s="1"/>
      <c r="B33" s="118" t="s">
        <v>54</v>
      </c>
      <c r="C33" s="119"/>
      <c r="D33" s="119"/>
      <c r="E33" s="119"/>
      <c r="F33" s="120"/>
      <c r="G33" s="23">
        <f>(G31+G32)*'Fane 15. Nøgletal'!C33</f>
        <v>656605.67270704929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5" t="s">
        <v>126</v>
      </c>
      <c r="C36" s="116"/>
      <c r="D36" s="116"/>
      <c r="E36" s="116"/>
      <c r="F36" s="116"/>
      <c r="G36" s="116"/>
      <c r="H36" s="117"/>
      <c r="I36" s="1"/>
    </row>
    <row r="37" spans="1:9" x14ac:dyDescent="0.25">
      <c r="A37" s="1"/>
      <c r="B37" s="118" t="s">
        <v>68</v>
      </c>
      <c r="C37" s="119"/>
      <c r="D37" s="119"/>
      <c r="E37" s="119"/>
      <c r="F37" s="120"/>
      <c r="G37" s="23">
        <f>(G31+G32-G33)*(1+'Fane 15. Nøgletal'!C14)</f>
        <v>32279851.099922147</v>
      </c>
      <c r="H37" s="14" t="s">
        <v>3</v>
      </c>
      <c r="I37" s="1"/>
    </row>
    <row r="38" spans="1:9" x14ac:dyDescent="0.25">
      <c r="A38" s="1"/>
      <c r="B38" s="118" t="s">
        <v>242</v>
      </c>
      <c r="C38" s="119"/>
      <c r="D38" s="119"/>
      <c r="E38" s="119"/>
      <c r="F38" s="120"/>
      <c r="G38" s="63">
        <v>0</v>
      </c>
      <c r="H38" s="14" t="s">
        <v>3</v>
      </c>
      <c r="I38" s="1"/>
    </row>
    <row r="39" spans="1:9" x14ac:dyDescent="0.25">
      <c r="A39" s="1"/>
      <c r="B39" s="118" t="s">
        <v>128</v>
      </c>
      <c r="C39" s="119"/>
      <c r="D39" s="119"/>
      <c r="E39" s="119"/>
      <c r="F39" s="120"/>
      <c r="G39" s="23">
        <f>(G37+G38)*'Fane 15. Nøgletal'!C33</f>
        <v>645597.02199844294</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5" t="s">
        <v>127</v>
      </c>
      <c r="C42" s="116"/>
      <c r="D42" s="116"/>
      <c r="E42" s="116"/>
      <c r="F42" s="116"/>
      <c r="G42" s="116"/>
      <c r="H42" s="117"/>
      <c r="I42" s="1"/>
    </row>
    <row r="43" spans="1:9" x14ac:dyDescent="0.25">
      <c r="A43" s="1"/>
      <c r="B43" s="118" t="s">
        <v>155</v>
      </c>
      <c r="C43" s="119"/>
      <c r="D43" s="119"/>
      <c r="E43" s="119"/>
      <c r="F43" s="120"/>
      <c r="G43" s="23">
        <f>(G37+G38-G39)*(1+'Fane 15. Nøgletal'!C14)</f>
        <v>31738647.116380855</v>
      </c>
      <c r="H43" s="14" t="s">
        <v>3</v>
      </c>
      <c r="I43" s="1"/>
    </row>
    <row r="44" spans="1:9" x14ac:dyDescent="0.25">
      <c r="A44" s="1"/>
      <c r="B44" s="121" t="s">
        <v>157</v>
      </c>
      <c r="C44" s="122"/>
      <c r="D44" s="122"/>
      <c r="E44" s="122"/>
      <c r="F44" s="123"/>
      <c r="G44" s="45">
        <v>103826.63758896002</v>
      </c>
      <c r="H44" s="14" t="s">
        <v>3</v>
      </c>
      <c r="I44" s="1"/>
    </row>
    <row r="45" spans="1:9" x14ac:dyDescent="0.25">
      <c r="A45" s="1"/>
      <c r="B45" s="118" t="s">
        <v>129</v>
      </c>
      <c r="C45" s="119"/>
      <c r="D45" s="119"/>
      <c r="E45" s="119"/>
      <c r="F45" s="120"/>
      <c r="G45" s="23">
        <f>SUM(G43:G44)*'Fane 15. Nøgletal'!C33</f>
        <v>636849.47507939627</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5" t="s">
        <v>192</v>
      </c>
      <c r="C51" s="116"/>
      <c r="D51" s="116"/>
      <c r="E51" s="116"/>
      <c r="F51" s="116"/>
      <c r="G51" s="116"/>
      <c r="H51" s="117"/>
      <c r="I51" s="1"/>
    </row>
    <row r="52" spans="1:9" x14ac:dyDescent="0.25">
      <c r="A52" s="1"/>
      <c r="B52" s="118" t="s">
        <v>154</v>
      </c>
      <c r="C52" s="119"/>
      <c r="D52" s="119"/>
      <c r="E52" s="119"/>
      <c r="F52" s="120"/>
      <c r="G52" s="23">
        <f>(G43+G44-G45)*(1+'Fane 15. Nøgletal'!C16)</f>
        <v>33727038.720624767</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406026.32959168003</v>
      </c>
      <c r="H53" s="14" t="s">
        <v>3</v>
      </c>
      <c r="I53" s="1"/>
    </row>
    <row r="54" spans="1:9" x14ac:dyDescent="0.25">
      <c r="A54" s="1"/>
      <c r="B54" s="118" t="s">
        <v>210</v>
      </c>
      <c r="C54" s="119"/>
      <c r="D54" s="119"/>
      <c r="E54" s="119"/>
      <c r="F54" s="120"/>
      <c r="G54" s="23">
        <f>(G52)*'Fane 15. Nøgletal'!C33+(G53)*'Fane 15. Nøgletal'!C33</f>
        <v>682661.30100432888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5" t="s">
        <v>193</v>
      </c>
      <c r="C57" s="116"/>
      <c r="D57" s="116"/>
      <c r="E57" s="116"/>
      <c r="F57" s="116"/>
      <c r="G57" s="116"/>
      <c r="H57" s="117"/>
      <c r="I57" s="1"/>
    </row>
    <row r="58" spans="1:9" x14ac:dyDescent="0.25">
      <c r="A58" s="1"/>
      <c r="B58" s="79" t="s">
        <v>212</v>
      </c>
      <c r="C58" s="80"/>
      <c r="D58" s="80"/>
      <c r="E58" s="80"/>
      <c r="F58" s="81"/>
      <c r="G58" s="23">
        <f>(G52+G53-G54)*(1+'Fane 15. Nøgletal'!C16)</f>
        <v>36153196.372148454</v>
      </c>
      <c r="H58" s="14" t="s">
        <v>3</v>
      </c>
      <c r="I58" s="1"/>
    </row>
    <row r="59" spans="1:9" x14ac:dyDescent="0.25">
      <c r="A59" s="1"/>
      <c r="B59" s="79" t="s">
        <v>211</v>
      </c>
      <c r="C59" s="80"/>
      <c r="D59" s="80"/>
      <c r="E59" s="80"/>
      <c r="F59" s="81"/>
      <c r="G59" s="23">
        <f>(G58)*'Fane 15. Nøgletal'!C33</f>
        <v>723063.92744296906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5" t="s">
        <v>256</v>
      </c>
      <c r="C62" s="116"/>
      <c r="D62" s="116"/>
      <c r="E62" s="116"/>
      <c r="F62" s="116"/>
      <c r="G62" s="116"/>
      <c r="H62" s="117"/>
      <c r="I62" s="1"/>
    </row>
    <row r="63" spans="1:9" x14ac:dyDescent="0.25">
      <c r="A63" s="1"/>
      <c r="B63" s="79" t="s">
        <v>213</v>
      </c>
      <c r="C63" s="80"/>
      <c r="D63" s="80"/>
      <c r="E63" s="80"/>
      <c r="F63" s="81"/>
      <c r="G63" s="23">
        <f>(G58-G59)*(1+'Fane 15. Nøgletal'!C16)</f>
        <v>38292887.146237686</v>
      </c>
      <c r="H63" s="14" t="s">
        <v>3</v>
      </c>
      <c r="I63" s="1"/>
    </row>
    <row r="64" spans="1:9" x14ac:dyDescent="0.25">
      <c r="A64" s="1"/>
      <c r="B64" s="79" t="s">
        <v>214</v>
      </c>
      <c r="C64" s="80"/>
      <c r="D64" s="80"/>
      <c r="E64" s="80"/>
      <c r="F64" s="81"/>
      <c r="G64" s="23">
        <f>(G63)*'Fane 15. Nøgletal'!C33</f>
        <v>765857.74292475369</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5" t="s">
        <v>257</v>
      </c>
      <c r="C67" s="116"/>
      <c r="D67" s="116"/>
      <c r="E67" s="116"/>
      <c r="F67" s="116"/>
      <c r="G67" s="116"/>
      <c r="H67" s="117"/>
      <c r="I67" s="1"/>
    </row>
    <row r="68" spans="1:9" x14ac:dyDescent="0.25">
      <c r="A68" s="1"/>
      <c r="B68" s="79" t="s">
        <v>213</v>
      </c>
      <c r="C68" s="80"/>
      <c r="D68" s="80"/>
      <c r="E68" s="80"/>
      <c r="F68" s="81"/>
      <c r="G68" s="23">
        <f>(G63-G64)*(1+'Fane 15. Nøgletal'!C16)</f>
        <v>40559213.379100613</v>
      </c>
      <c r="H68" s="14" t="s">
        <v>3</v>
      </c>
      <c r="I68" s="1"/>
    </row>
    <row r="69" spans="1:9" x14ac:dyDescent="0.25">
      <c r="A69" s="1"/>
      <c r="B69" s="79" t="s">
        <v>214</v>
      </c>
      <c r="C69" s="80"/>
      <c r="D69" s="80"/>
      <c r="E69" s="80"/>
      <c r="F69" s="81"/>
      <c r="G69" s="23">
        <f>(G68)*'Fane 15. Nøgletal'!C33</f>
        <v>811184.26758201234</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jF54a32T51+8Q6gYa4NyFYiT3mzc4uteon5R012Yh2WC2GJJhJCQn8Sf3/fUBKEVKRmWJzvMwXX0QyuSWcpUgQ==" saltValue="zXT8V/6J6BWAunfM/c2g3w=="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5" t="s">
        <v>50</v>
      </c>
      <c r="C4" s="116"/>
      <c r="D4" s="116"/>
      <c r="E4" s="116"/>
      <c r="F4" s="116"/>
      <c r="G4" s="116"/>
      <c r="H4" s="117"/>
      <c r="I4" s="1"/>
    </row>
    <row r="5" spans="1:9" x14ac:dyDescent="0.25">
      <c r="A5" s="1"/>
      <c r="B5" s="118" t="s">
        <v>55</v>
      </c>
      <c r="C5" s="119"/>
      <c r="D5" s="119"/>
      <c r="E5" s="119"/>
      <c r="F5" s="120"/>
      <c r="G5" s="63">
        <v>75171293</v>
      </c>
      <c r="H5" s="14" t="s">
        <v>3</v>
      </c>
      <c r="I5" s="1"/>
    </row>
    <row r="6" spans="1:9" x14ac:dyDescent="0.25">
      <c r="A6" s="1"/>
      <c r="B6" s="118" t="s">
        <v>51</v>
      </c>
      <c r="C6" s="119"/>
      <c r="D6" s="119"/>
      <c r="E6" s="119"/>
      <c r="F6" s="120"/>
      <c r="G6" s="23">
        <f>G5*'Fane 15. Nøgletal'!C21</f>
        <v>684058.76630000002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5" t="s">
        <v>56</v>
      </c>
      <c r="C9" s="116"/>
      <c r="D9" s="116"/>
      <c r="E9" s="116"/>
      <c r="F9" s="116"/>
      <c r="G9" s="116"/>
      <c r="H9" s="117"/>
      <c r="I9" s="1"/>
    </row>
    <row r="10" spans="1:9" x14ac:dyDescent="0.25">
      <c r="A10" s="1"/>
      <c r="B10" s="118" t="s">
        <v>57</v>
      </c>
      <c r="C10" s="119"/>
      <c r="D10" s="119"/>
      <c r="E10" s="119"/>
      <c r="F10" s="120"/>
      <c r="G10" s="23">
        <f>(G5-G6)*(1+'Fane 15. Nøgletal'!C10)</f>
        <v>75790760.832789764</v>
      </c>
      <c r="H10" s="14" t="s">
        <v>3</v>
      </c>
      <c r="I10" s="1"/>
    </row>
    <row r="11" spans="1:9" x14ac:dyDescent="0.25">
      <c r="A11" s="1"/>
      <c r="B11" s="118" t="s">
        <v>104</v>
      </c>
      <c r="C11" s="119"/>
      <c r="D11" s="119"/>
      <c r="E11" s="119"/>
      <c r="F11" s="120"/>
      <c r="G11" s="63">
        <v>298171.34789582557</v>
      </c>
      <c r="H11" s="14" t="s">
        <v>3</v>
      </c>
      <c r="I11" s="1"/>
    </row>
    <row r="12" spans="1:9" x14ac:dyDescent="0.25">
      <c r="A12" s="1"/>
      <c r="B12" s="124" t="s">
        <v>247</v>
      </c>
      <c r="C12" s="125"/>
      <c r="D12" s="125"/>
      <c r="E12" s="125"/>
      <c r="F12" s="126"/>
      <c r="G12" s="66">
        <v>0</v>
      </c>
      <c r="H12" s="14" t="s">
        <v>3</v>
      </c>
      <c r="I12" s="1"/>
    </row>
    <row r="13" spans="1:9" x14ac:dyDescent="0.25">
      <c r="A13" s="1"/>
      <c r="B13" s="118" t="s">
        <v>58</v>
      </c>
      <c r="C13" s="119"/>
      <c r="D13" s="119"/>
      <c r="E13" s="119"/>
      <c r="F13" s="120"/>
      <c r="G13" s="23">
        <f>SUM(G10:G12)*'Fane 15. Nøgletal'!C22</f>
        <v>1346774.0995981351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5" t="s">
        <v>59</v>
      </c>
      <c r="C16" s="116"/>
      <c r="D16" s="116"/>
      <c r="E16" s="116"/>
      <c r="F16" s="116"/>
      <c r="G16" s="116"/>
      <c r="H16" s="117"/>
      <c r="I16" s="1"/>
    </row>
    <row r="17" spans="1:9" x14ac:dyDescent="0.25">
      <c r="A17" s="1"/>
      <c r="B17" s="118" t="s">
        <v>60</v>
      </c>
      <c r="C17" s="119"/>
      <c r="D17" s="119"/>
      <c r="E17" s="119"/>
      <c r="F17" s="120"/>
      <c r="G17" s="23">
        <f>(SUM(G10:G12)-G13)*(1+'Fane 15. Nøgletal'!C10)</f>
        <v>76050145.847506493</v>
      </c>
      <c r="H17" s="14" t="s">
        <v>3</v>
      </c>
      <c r="I17" s="1"/>
    </row>
    <row r="18" spans="1:9" x14ac:dyDescent="0.25">
      <c r="A18" s="1"/>
      <c r="B18" s="124" t="s">
        <v>248</v>
      </c>
      <c r="C18" s="125"/>
      <c r="D18" s="125"/>
      <c r="E18" s="125"/>
      <c r="F18" s="126"/>
      <c r="G18" s="63">
        <v>115654.20279361997</v>
      </c>
      <c r="H18" s="14" t="s">
        <v>3</v>
      </c>
      <c r="I18" s="1"/>
    </row>
    <row r="19" spans="1:9" x14ac:dyDescent="0.25">
      <c r="A19" s="1"/>
      <c r="B19" s="118" t="s">
        <v>61</v>
      </c>
      <c r="C19" s="119"/>
      <c r="D19" s="119"/>
      <c r="E19" s="119"/>
      <c r="F19" s="120"/>
      <c r="G19" s="23">
        <f>G17*'Fane 15. Nøgletal'!C22+G18*'Fane 15. Nøgletal'!C23</f>
        <v>1347093.7730651696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5" t="s">
        <v>62</v>
      </c>
      <c r="C22" s="116"/>
      <c r="D22" s="116"/>
      <c r="E22" s="116"/>
      <c r="F22" s="116"/>
      <c r="G22" s="116"/>
      <c r="H22" s="117"/>
      <c r="I22" s="1"/>
    </row>
    <row r="23" spans="1:9" x14ac:dyDescent="0.25">
      <c r="A23" s="1"/>
      <c r="B23" s="118" t="s">
        <v>63</v>
      </c>
      <c r="C23" s="119"/>
      <c r="D23" s="119"/>
      <c r="E23" s="119"/>
      <c r="F23" s="120"/>
      <c r="G23" s="23">
        <f>(G17+G18-G19)*(1+'Fane 15. Nøgletal'!C12)</f>
        <v>76292634.790896475</v>
      </c>
      <c r="H23" s="14" t="s">
        <v>3</v>
      </c>
      <c r="I23" s="1"/>
    </row>
    <row r="24" spans="1:9" x14ac:dyDescent="0.25">
      <c r="A24" s="1"/>
      <c r="B24" s="124" t="s">
        <v>249</v>
      </c>
      <c r="C24" s="125"/>
      <c r="D24" s="125"/>
      <c r="E24" s="125"/>
      <c r="F24" s="126"/>
      <c r="G24" s="63">
        <v>1178735.8008312117</v>
      </c>
      <c r="H24" s="14" t="s">
        <v>3</v>
      </c>
      <c r="I24" s="1"/>
    </row>
    <row r="25" spans="1:9" x14ac:dyDescent="0.25">
      <c r="A25" s="1"/>
      <c r="B25" s="118" t="s">
        <v>64</v>
      </c>
      <c r="C25" s="119"/>
      <c r="D25" s="119"/>
      <c r="E25" s="119"/>
      <c r="F25" s="120"/>
      <c r="G25" s="23">
        <f>(G23+G24)*'Fane 15. Nøgletal'!C24</f>
        <v>2200186.9248050665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5" t="s">
        <v>65</v>
      </c>
      <c r="C28" s="116"/>
      <c r="D28" s="116"/>
      <c r="E28" s="116"/>
      <c r="F28" s="116"/>
      <c r="G28" s="116"/>
      <c r="H28" s="117"/>
      <c r="I28" s="1"/>
    </row>
    <row r="29" spans="1:9" x14ac:dyDescent="0.25">
      <c r="A29" s="1"/>
      <c r="B29" s="118" t="s">
        <v>66</v>
      </c>
      <c r="C29" s="119"/>
      <c r="D29" s="119"/>
      <c r="E29" s="119"/>
      <c r="F29" s="120"/>
      <c r="G29" s="23">
        <f>(G23+G24-G25)*(1+'Fane 15. Nøgletal'!C12)</f>
        <v>76754025.985161006</v>
      </c>
      <c r="H29" s="14" t="s">
        <v>3</v>
      </c>
      <c r="I29" s="1"/>
    </row>
    <row r="30" spans="1:9" x14ac:dyDescent="0.25">
      <c r="A30" s="1"/>
      <c r="B30" s="118" t="s">
        <v>250</v>
      </c>
      <c r="C30" s="119"/>
      <c r="D30" s="119"/>
      <c r="E30" s="119"/>
      <c r="F30" s="120"/>
      <c r="G30" s="63">
        <v>818135.03430287994</v>
      </c>
      <c r="H30" s="14" t="s">
        <v>3</v>
      </c>
      <c r="I30" s="1"/>
    </row>
    <row r="31" spans="1:9" x14ac:dyDescent="0.25">
      <c r="A31" s="1"/>
      <c r="B31" s="118" t="s">
        <v>67</v>
      </c>
      <c r="C31" s="119"/>
      <c r="D31" s="119"/>
      <c r="E31" s="119"/>
      <c r="F31" s="120"/>
      <c r="G31" s="23">
        <f>G29*'Fane 15. Nøgletal'!C24+G30*'Fane 15. Nøgletal'!C25</f>
        <v>2202313.0514219017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5" t="s">
        <v>130</v>
      </c>
      <c r="C34" s="116"/>
      <c r="D34" s="116"/>
      <c r="E34" s="116"/>
      <c r="F34" s="116"/>
      <c r="G34" s="116"/>
      <c r="H34" s="117"/>
      <c r="I34" s="1"/>
    </row>
    <row r="35" spans="1:9" x14ac:dyDescent="0.25">
      <c r="A35" s="1"/>
      <c r="B35" s="118" t="s">
        <v>215</v>
      </c>
      <c r="C35" s="119"/>
      <c r="D35" s="119"/>
      <c r="E35" s="119"/>
      <c r="F35" s="120"/>
      <c r="G35" s="23">
        <f>(G29+G30-G31)*(1+'Fane 15. Nøgletal'!C14)</f>
        <v>75618568.466336533</v>
      </c>
      <c r="H35" s="14" t="s">
        <v>3</v>
      </c>
      <c r="I35" s="1"/>
    </row>
    <row r="36" spans="1:9" x14ac:dyDescent="0.25">
      <c r="A36" s="1"/>
      <c r="B36" s="118" t="s">
        <v>251</v>
      </c>
      <c r="C36" s="119"/>
      <c r="D36" s="119"/>
      <c r="E36" s="119"/>
      <c r="F36" s="120"/>
      <c r="G36" s="63">
        <v>2377835.3699649107</v>
      </c>
      <c r="H36" s="14" t="s">
        <v>3</v>
      </c>
      <c r="I36" s="1"/>
    </row>
    <row r="37" spans="1:9" x14ac:dyDescent="0.25">
      <c r="A37" s="1"/>
      <c r="B37" s="118" t="s">
        <v>131</v>
      </c>
      <c r="C37" s="119"/>
      <c r="D37" s="119"/>
      <c r="E37" s="119"/>
      <c r="F37" s="120"/>
      <c r="G37" s="23">
        <f>(G35+G36)*'Fane 15. Nøgletal'!C26</f>
        <v>1154346.7767772614</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5" t="s">
        <v>151</v>
      </c>
      <c r="C40" s="116"/>
      <c r="D40" s="116"/>
      <c r="E40" s="116"/>
      <c r="F40" s="116"/>
      <c r="G40" s="116"/>
      <c r="H40" s="117"/>
      <c r="I40" s="1"/>
    </row>
    <row r="41" spans="1:9" x14ac:dyDescent="0.25">
      <c r="A41" s="1"/>
      <c r="B41" s="118" t="s">
        <v>216</v>
      </c>
      <c r="C41" s="119"/>
      <c r="D41" s="119"/>
      <c r="E41" s="119"/>
      <c r="F41" s="120"/>
      <c r="G41" s="23">
        <f>(G35+G36-G37)*(1+'Fane 15. Nøgletal'!C14)</f>
        <v>77095635.84782061</v>
      </c>
      <c r="H41" s="14" t="s">
        <v>3</v>
      </c>
      <c r="I41" s="1"/>
    </row>
    <row r="42" spans="1:9" x14ac:dyDescent="0.25">
      <c r="A42" s="1"/>
      <c r="B42" s="40" t="s">
        <v>156</v>
      </c>
      <c r="C42" s="80"/>
      <c r="D42" s="80"/>
      <c r="E42" s="80"/>
      <c r="F42" s="81"/>
      <c r="G42" s="23">
        <v>4479265.2810836649</v>
      </c>
      <c r="H42" s="14" t="s">
        <v>3</v>
      </c>
      <c r="I42" s="1"/>
    </row>
    <row r="43" spans="1:9" x14ac:dyDescent="0.25">
      <c r="A43" s="1"/>
      <c r="B43" s="118" t="s">
        <v>132</v>
      </c>
      <c r="C43" s="119"/>
      <c r="D43" s="119"/>
      <c r="E43" s="119"/>
      <c r="F43" s="120"/>
      <c r="G43" s="23">
        <f>(G41)*'Fane 15. Nøgletal'!C26+G42*'Fane 15. Nøgletal'!C27</f>
        <v>1141015.4105477452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5" t="s">
        <v>259</v>
      </c>
      <c r="C52" s="116"/>
      <c r="D52" s="116"/>
      <c r="E52" s="116"/>
      <c r="F52" s="116"/>
      <c r="G52" s="116"/>
      <c r="H52" s="117"/>
      <c r="I52" s="1"/>
    </row>
    <row r="53" spans="1:9" x14ac:dyDescent="0.25">
      <c r="A53" s="1"/>
      <c r="B53" s="118" t="s">
        <v>217</v>
      </c>
      <c r="C53" s="119"/>
      <c r="D53" s="119"/>
      <c r="E53" s="119"/>
      <c r="F53" s="120"/>
      <c r="G53" s="23">
        <f>(G41+G42-G43)*(1+'Fane 15. Nøgletal'!C16)</f>
        <v>86932943.684399724</v>
      </c>
      <c r="H53" s="14" t="s">
        <v>3</v>
      </c>
      <c r="I53" s="1"/>
    </row>
    <row r="54" spans="1:9" x14ac:dyDescent="0.25">
      <c r="A54" s="1"/>
      <c r="B54" s="79" t="s">
        <v>195</v>
      </c>
      <c r="C54" s="80"/>
      <c r="D54" s="80"/>
      <c r="E54" s="80"/>
      <c r="F54" s="81"/>
      <c r="G54" s="23">
        <f>('Fane 2.1. Økonomisk ramme 2024'!C11+'Fane 2.1. Økonomisk ramme 2024'!C13+'Fane 2.1. Økonomisk ramme 2024'!C15)*(1+'Fane 15. Nøgletal'!C16)</f>
        <v>1783973.06777984</v>
      </c>
      <c r="H54" s="14" t="s">
        <v>3</v>
      </c>
      <c r="I54" s="1"/>
    </row>
    <row r="55" spans="1:9" x14ac:dyDescent="0.25">
      <c r="A55" s="1"/>
      <c r="B55" s="118" t="s">
        <v>218</v>
      </c>
      <c r="C55" s="119"/>
      <c r="D55" s="119"/>
      <c r="E55" s="119"/>
      <c r="F55" s="120"/>
      <c r="G55" s="7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5" t="s">
        <v>258</v>
      </c>
      <c r="C58" s="116"/>
      <c r="D58" s="116"/>
      <c r="E58" s="116"/>
      <c r="F58" s="116"/>
      <c r="G58" s="116"/>
      <c r="H58" s="117"/>
      <c r="I58" s="1"/>
    </row>
    <row r="59" spans="1:9" x14ac:dyDescent="0.25">
      <c r="A59" s="1"/>
      <c r="B59" s="118" t="s">
        <v>219</v>
      </c>
      <c r="C59" s="119"/>
      <c r="D59" s="119"/>
      <c r="E59" s="119"/>
      <c r="F59" s="120"/>
      <c r="G59" s="23">
        <f>(G53+G54-G55)*(1+'Fane 15. Nøgletal'!C16)</f>
        <v>95885243.625755668</v>
      </c>
      <c r="H59" s="14" t="s">
        <v>3</v>
      </c>
      <c r="I59" s="1"/>
    </row>
    <row r="60" spans="1:9" x14ac:dyDescent="0.25">
      <c r="A60" s="1"/>
      <c r="B60" s="118" t="s">
        <v>220</v>
      </c>
      <c r="C60" s="119"/>
      <c r="D60" s="119"/>
      <c r="E60" s="119"/>
      <c r="F60" s="120"/>
      <c r="G60" s="7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5" t="s">
        <v>141</v>
      </c>
      <c r="C63" s="116"/>
      <c r="D63" s="116"/>
      <c r="E63" s="116"/>
      <c r="F63" s="116"/>
      <c r="G63" s="116"/>
      <c r="H63" s="117"/>
      <c r="I63" s="1"/>
    </row>
    <row r="64" spans="1:9" x14ac:dyDescent="0.25">
      <c r="A64" s="1"/>
      <c r="B64" s="118" t="s">
        <v>221</v>
      </c>
      <c r="C64" s="119"/>
      <c r="D64" s="119"/>
      <c r="E64" s="119"/>
      <c r="F64" s="120"/>
      <c r="G64" s="23">
        <f>(G59-G60)*(1+'Fane 15. Nøgletal'!C16)</f>
        <v>103632771.31071672</v>
      </c>
      <c r="H64" s="14" t="s">
        <v>3</v>
      </c>
      <c r="I64" s="1"/>
    </row>
    <row r="65" spans="1:9" x14ac:dyDescent="0.25">
      <c r="A65" s="1"/>
      <c r="B65" s="118" t="s">
        <v>222</v>
      </c>
      <c r="C65" s="119"/>
      <c r="D65" s="119"/>
      <c r="E65" s="119"/>
      <c r="F65" s="120"/>
      <c r="G65" s="7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5" t="s">
        <v>223</v>
      </c>
      <c r="C68" s="116"/>
      <c r="D68" s="116"/>
      <c r="E68" s="116"/>
      <c r="F68" s="116"/>
      <c r="G68" s="116"/>
      <c r="H68" s="117"/>
      <c r="I68" s="1"/>
    </row>
    <row r="69" spans="1:9" x14ac:dyDescent="0.25">
      <c r="A69" s="1"/>
      <c r="B69" s="118" t="s">
        <v>221</v>
      </c>
      <c r="C69" s="119"/>
      <c r="D69" s="119"/>
      <c r="E69" s="119"/>
      <c r="F69" s="120"/>
      <c r="G69" s="23">
        <f>(G64-G65)*(1+'Fane 15. Nøgletal'!C16)</f>
        <v>112006299.23262262</v>
      </c>
      <c r="H69" s="14" t="s">
        <v>3</v>
      </c>
      <c r="I69" s="1"/>
    </row>
    <row r="70" spans="1:9" x14ac:dyDescent="0.25">
      <c r="A70" s="1"/>
      <c r="B70" s="118" t="s">
        <v>222</v>
      </c>
      <c r="C70" s="119"/>
      <c r="D70" s="119"/>
      <c r="E70" s="119"/>
      <c r="F70" s="120"/>
      <c r="G70" s="7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oEJTU5Dxdqbn1UgStwvjCcFUDzzKubGFH8/q0YpjS1X+9s6wiFWT/Uh3NG1KbMBKx4YUZI53XQ8LCEOaqyfOeQ==" saltValue="gRDxCd/XrS2gyzhHNEldJQ=="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10</v>
      </c>
      <c r="C8" s="116"/>
      <c r="D8" s="116"/>
      <c r="E8" s="116"/>
      <c r="F8" s="116"/>
      <c r="G8" s="117"/>
      <c r="H8" s="1"/>
    </row>
    <row r="9" spans="1:8" x14ac:dyDescent="0.25">
      <c r="A9" s="1"/>
      <c r="B9" s="118" t="s">
        <v>272</v>
      </c>
      <c r="C9" s="119"/>
      <c r="D9" s="119"/>
      <c r="E9" s="119"/>
      <c r="F9" s="120"/>
      <c r="G9" s="22">
        <v>1.3686356254131539E-2</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ZDsh8lM435cvPz8u51DnExUBDNu+Khi9MWwiVFSj+6JoiGQV/pzfij1EvzKb1Ko5TujDk8tWkuOyY38XFCab8g==" saltValue="g13wWL7YxmnBVO8QembAt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2023-11-05T12:44:25Z</dcterms:modified>
</cp:coreProperties>
</file>