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OVAFOS VAND HØRSHOLM AS (V102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26" i="32" l="1"/>
  <c r="E35" i="32" l="1"/>
  <c r="E37" i="32" s="1"/>
  <c r="C30" i="2"/>
  <c r="C14" i="19"/>
  <c r="C23" i="15" l="1"/>
  <c r="C23" i="22"/>
  <c r="C23" i="23"/>
  <c r="C11" i="29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9" i="36" s="1"/>
  <c r="C32" i="21"/>
  <c r="C33" i="21" s="1"/>
  <c r="G55" i="30" s="1"/>
  <c r="E25" i="21"/>
  <c r="E26" i="21" s="1"/>
  <c r="G53" i="36" s="1"/>
  <c r="C25" i="21"/>
  <c r="C26" i="21" s="1"/>
  <c r="G49" i="30" s="1"/>
  <c r="E18" i="21"/>
  <c r="E19" i="21" s="1"/>
  <c r="G43" i="36" s="1"/>
  <c r="C18" i="21"/>
  <c r="C19" i="21" s="1"/>
  <c r="G43" i="30" s="1"/>
  <c r="C10" i="15" l="1"/>
  <c r="C9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0" i="15" s="1"/>
  <c r="C19" i="23"/>
  <c r="C19" i="22"/>
  <c r="C19" i="15"/>
  <c r="C26" i="2"/>
  <c r="C21" i="22" l="1"/>
  <c r="C21" i="23"/>
  <c r="C21" i="15"/>
  <c r="C28" i="2"/>
  <c r="G6" i="36" l="1"/>
  <c r="G10" i="36" s="1"/>
  <c r="G12" i="36" l="1"/>
  <c r="G16" i="36" s="1"/>
  <c r="G19" i="36" s="1"/>
  <c r="G23" i="36" s="1"/>
  <c r="G12" i="30"/>
  <c r="G16" i="30" s="1"/>
  <c r="G19" i="30" s="1"/>
  <c r="G25" i="36" l="1"/>
  <c r="G23" i="30"/>
  <c r="G25" i="30" l="1"/>
  <c r="G29" i="30" s="1"/>
  <c r="G29" i="36"/>
  <c r="G31" i="30" l="1"/>
  <c r="G35" i="30" s="1"/>
  <c r="G31" i="36"/>
  <c r="G35" i="36" s="1"/>
  <c r="F11" i="11"/>
  <c r="G11" i="11"/>
  <c r="E19" i="27" l="1"/>
  <c r="E18" i="27"/>
  <c r="C10" i="37"/>
  <c r="C13" i="37" s="1"/>
  <c r="C14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7" i="15"/>
  <c r="G37" i="30"/>
  <c r="G38" i="30" s="1"/>
  <c r="E11" i="11"/>
  <c r="E10" i="37" l="1"/>
  <c r="E13" i="37" s="1"/>
  <c r="E14" i="37" s="1"/>
  <c r="C13" i="2" s="1"/>
  <c r="G37" i="36" s="1"/>
  <c r="G38" i="36" l="1"/>
  <c r="G42" i="36" s="1"/>
  <c r="G44" i="36" s="1"/>
  <c r="C20" i="2"/>
  <c r="G42" i="30" l="1"/>
  <c r="G44" i="30" s="1"/>
  <c r="C13" i="15" s="1"/>
  <c r="E20" i="27"/>
  <c r="E31" i="27" s="1"/>
  <c r="C9" i="2" l="1"/>
  <c r="C18" i="2" s="1"/>
  <c r="C19" i="2" s="1"/>
  <c r="G48" i="30"/>
  <c r="G50" i="30" s="1"/>
  <c r="C21" i="2"/>
  <c r="C14" i="15"/>
  <c r="C22" i="2" l="1"/>
  <c r="G54" i="30"/>
  <c r="G56" i="30" s="1"/>
  <c r="C13" i="23" s="1"/>
  <c r="C13" i="22"/>
  <c r="G52" i="36"/>
  <c r="G54" i="36" s="1"/>
  <c r="C14" i="22" s="1"/>
  <c r="G58" i="36" l="1"/>
  <c r="G60" i="36" s="1"/>
  <c r="C14" i="23" s="1"/>
  <c r="C8" i="15"/>
  <c r="C11" i="15" l="1"/>
  <c r="C12" i="15" s="1"/>
  <c r="C15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6" i="15" l="1"/>
</calcChain>
</file>

<file path=xl/sharedStrings.xml><?xml version="1.0" encoding="utf-8"?>
<sst xmlns="http://schemas.openxmlformats.org/spreadsheetml/2006/main" count="623" uniqueCount="255">
  <si>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</si>
  <si>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</si>
  <si>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</si>
  <si>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</si>
  <si>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</si>
  <si>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</si>
  <si>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</si>
  <si>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</si>
  <si>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</si>
  <si>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</si>
  <si>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</si>
  <si>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</si>
  <si>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</si>
  <si>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</si>
  <si>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</si>
  <si>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</si>
  <si>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</si>
  <si>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</si>
  <si>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</si>
  <si>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</si>
  <si>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</si>
  <si>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</si>
  <si>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</si>
  <si>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</si>
  <si>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</si>
  <si>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</si>
  <si>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</si>
  <si>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</si>
  <si>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</si>
  <si>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</si>
  <si>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</si>
  <si>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</si>
  <si>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</si>
  <si>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</si>
  <si>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</si>
  <si>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</si>
  <si>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</si>
  <si>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</si>
  <si>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</si>
  <si>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</si>
  <si>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</si>
  <si>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</si>
  <si>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</si>
  <si>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</si>
  <si>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</si>
  <si>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</si>
  <si>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</si>
  <si>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</si>
  <si>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</si>
  <si>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</si>
  <si>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</si>
  <si>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</si>
  <si>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</si>
  <si>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</si>
  <si>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</si>
  <si>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</si>
  <si>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</si>
  <si>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</si>
  <si>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</si>
  <si>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</si>
  <si>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</si>
  <si>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</si>
  <si>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</si>
  <si>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</si>
  <si>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</si>
  <si>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</si>
  <si>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</si>
  <si>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</si>
  <si>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</si>
  <si>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</si>
  <si>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</si>
  <si>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</si>
  <si>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</si>
  <si>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</si>
  <si>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</si>
  <si>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</si>
  <si>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</si>
  <si>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</si>
  <si>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</si>
  <si>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</si>
  <si>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</si>
  <si>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</si>
  <si>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</si>
  <si>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</si>
  <si>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</si>
  <si>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</si>
  <si>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</si>
  <si>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</si>
  <si>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</si>
  <si>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</si>
  <si>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</si>
  <si>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</si>
  <si>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</si>
  <si>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</si>
  <si>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</si>
  <si>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</si>
  <si>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</si>
  <si>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</si>
  <si>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</si>
  <si>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</si>
  <si>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</si>
  <si>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</si>
  <si>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</si>
  <si>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</si>
  <si>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</si>
  <si>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</si>
  <si>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</si>
  <si>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</si>
  <si>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</si>
  <si>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</si>
  <si>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</si>
  <si>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</si>
  <si>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</si>
  <si>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</si>
  <si>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</si>
  <si>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</si>
  <si>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</si>
  <si>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</si>
  <si>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</si>
  <si>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</si>
  <si>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</si>
  <si>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</si>
  <si>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</si>
  <si>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</si>
  <si>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</si>
  <si>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</si>
  <si>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</si>
  <si>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</si>
  <si>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</si>
  <si>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</si>
  <si>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</si>
  <si>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</si>
  <si>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</si>
  <si>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</si>
  <si>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</si>
  <si>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</si>
  <si>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</si>
  <si>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</si>
  <si>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</si>
  <si>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</si>
  <si>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</si>
  <si>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</si>
  <si>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</si>
  <si>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</si>
  <si>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</si>
  <si>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</si>
  <si>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</si>
  <si>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</si>
  <si>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</si>
  <si>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</si>
  <si>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</si>
  <si>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</si>
  <si>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</si>
  <si>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</si>
  <si>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</si>
  <si>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</si>
  <si>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</si>
  <si>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</si>
  <si>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</si>
  <si>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</si>
  <si>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</si>
  <si>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</si>
  <si>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</si>
  <si>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</si>
  <si>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</si>
  <si>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</si>
  <si>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</si>
  <si>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</si>
  <si>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</si>
  <si>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</si>
  <si>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</si>
  <si>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</si>
  <si>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</si>
  <si>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</si>
  <si>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</si>
  <si>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</si>
  <si>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</si>
  <si>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</si>
  <si>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</si>
  <si>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</si>
  <si>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</si>
  <si>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</si>
  <si>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</si>
  <si>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</si>
  <si>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</si>
  <si>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</si>
  <si>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</si>
  <si>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</si>
  <si>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</si>
  <si>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</si>
  <si>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</si>
  <si>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</si>
  <si>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</si>
  <si>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</si>
  <si>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</si>
  <si>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</si>
  <si>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</si>
  <si>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</si>
  <si>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</si>
  <si>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</si>
  <si>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</si>
  <si>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</si>
  <si>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</si>
  <si>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</si>
  <si>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</si>
  <si>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</si>
  <si>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</si>
  <si>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</si>
  <si>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</si>
  <si>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</si>
  <si>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</si>
  <si>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</si>
  <si>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</si>
  <si>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</si>
  <si>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</si>
  <si>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</si>
  <si>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</si>
  <si>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</si>
  <si>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</si>
  <si>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</si>
  <si>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</si>
  <si>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</si>
  <si>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</si>
  <si>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</si>
  <si>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</si>
  <si>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</si>
  <si>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Fjernaflæste målere, pesticider og DMS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</si>
  <si>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</si>
  <si>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</si>
  <si>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</si>
  <si>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</si>
  <si>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</si>
  <si>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</si>
  <si>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</si>
  <si>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</si>
  <si>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</si>
  <si>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</si>
  <si>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</si>
  <si>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</si>
  <si>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</si>
  <si>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</si>
  <si>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</si>
  <si>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</si>
  <si>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</si>
  <si>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</si>
  <si>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</si>
  <si>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Sjælmarksledningen og nye stik</t>
  </si>
  <si>
    <t>Ingen engangstillæg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</si>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</sst>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4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3" t="s">
        <v>254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5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8" t="s">
        <v>163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15</v>
      </c>
      <c r="D14" s="78" t="s">
        <v>83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35</v>
      </c>
      <c r="D15" s="78" t="s">
        <v>128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36</v>
      </c>
      <c r="D16" s="78" t="s">
        <v>180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127</v>
      </c>
      <c r="D17" s="78" t="s">
        <v>181</v>
      </c>
      <c r="E17" s="79"/>
      <c r="F17" s="79"/>
      <c r="G17" s="80"/>
      <c r="H17" s="1"/>
      <c r="I17" s="1"/>
    </row>
    <row r="18" spans="1:9" x14ac:dyDescent="0.25">
      <c r="A18" s="1"/>
      <c r="B18" s="1"/>
      <c r="C18" s="32" t="s">
        <v>111</v>
      </c>
      <c r="D18" s="84" t="s">
        <v>100</v>
      </c>
      <c r="E18" s="85"/>
      <c r="F18" s="85"/>
      <c r="G18" s="86"/>
      <c r="H18" s="1"/>
      <c r="I18" s="1"/>
    </row>
    <row r="19" spans="1:9" x14ac:dyDescent="0.25">
      <c r="A19" s="1"/>
      <c r="B19" s="1"/>
      <c r="C19" s="32" t="s">
        <v>112</v>
      </c>
      <c r="D19" s="84" t="s">
        <v>101</v>
      </c>
      <c r="E19" s="85"/>
      <c r="F19" s="85"/>
      <c r="G19" s="86"/>
      <c r="H19" s="1"/>
      <c r="I19" s="1"/>
    </row>
    <row r="20" spans="1:9" x14ac:dyDescent="0.25">
      <c r="A20" s="1"/>
      <c r="B20" s="1"/>
      <c r="C20" s="32" t="s">
        <v>7</v>
      </c>
      <c r="D20" s="84" t="s">
        <v>9</v>
      </c>
      <c r="E20" s="85"/>
      <c r="F20" s="85"/>
      <c r="G20" s="86"/>
      <c r="H20" s="1"/>
      <c r="I20" s="1"/>
    </row>
    <row r="21" spans="1:9" x14ac:dyDescent="0.25">
      <c r="A21" s="1"/>
      <c r="B21" s="1"/>
      <c r="C21" s="6" t="s">
        <v>113</v>
      </c>
      <c r="D21" s="75" t="s">
        <v>12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87</v>
      </c>
      <c r="D22" s="69" t="s">
        <v>182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8</v>
      </c>
      <c r="D23" s="69" t="s">
        <v>37</v>
      </c>
      <c r="E23" s="70"/>
      <c r="F23" s="70"/>
      <c r="G23" s="71"/>
      <c r="H23" s="1"/>
      <c r="I23" s="1"/>
    </row>
    <row r="24" spans="1:9" x14ac:dyDescent="0.25">
      <c r="A24" s="1"/>
      <c r="B24" s="1"/>
      <c r="C24" s="6" t="s">
        <v>170</v>
      </c>
      <c r="D24" s="69" t="s">
        <v>88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171</v>
      </c>
      <c r="D25" s="69" t="s">
        <v>89</v>
      </c>
      <c r="E25" s="70"/>
      <c r="F25" s="70"/>
      <c r="G25" s="71"/>
      <c r="H25" s="1"/>
      <c r="I25" s="1"/>
    </row>
    <row r="26" spans="1:9" x14ac:dyDescent="0.25">
      <c r="A26" s="1"/>
      <c r="B26" s="1"/>
      <c r="C26" s="6" t="s">
        <v>172</v>
      </c>
      <c r="D26" s="69" t="s">
        <v>129</v>
      </c>
      <c r="E26" s="70"/>
      <c r="F26" s="70"/>
      <c r="G26" s="71"/>
      <c r="H26" s="1"/>
      <c r="I26" s="1"/>
    </row>
    <row r="27" spans="1:9" x14ac:dyDescent="0.25">
      <c r="A27" s="1"/>
      <c r="B27" s="1"/>
      <c r="C27" s="6" t="s">
        <v>114</v>
      </c>
      <c r="D27" s="69" t="s">
        <v>38</v>
      </c>
      <c r="E27" s="70"/>
      <c r="F27" s="70"/>
      <c r="G27" s="71"/>
      <c r="H27" s="1"/>
      <c r="I27" s="1"/>
    </row>
    <row r="28" spans="1:9" x14ac:dyDescent="0.25">
      <c r="A28" s="1"/>
      <c r="B28" s="1"/>
      <c r="C28" s="6" t="s">
        <v>108</v>
      </c>
      <c r="D28" s="72" t="s">
        <v>109</v>
      </c>
      <c r="E28" s="73"/>
      <c r="F28" s="73"/>
      <c r="G28" s="74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Zv9T+UduL+YMjoyioz7kfGhQ+dJy063NFAHO6e3vXszRn3MQRVUQvsXYtKOhyss3/pIqiPf/5x+iNPnOhXcgQ==" saltValue="oMiBXU0GpbHfwLW/wK+wj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7" t="s">
        <v>117</v>
      </c>
      <c r="C3" s="87"/>
      <c r="D3" s="87"/>
      <c r="E3" s="1"/>
      <c r="F3" s="1"/>
    </row>
    <row r="4" spans="1:6" ht="15" customHeight="1" x14ac:dyDescent="0.25">
      <c r="A4" s="1"/>
      <c r="B4" s="87"/>
      <c r="C4" s="87"/>
      <c r="D4" s="8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0" t="s">
        <v>202</v>
      </c>
      <c r="C8" s="111"/>
      <c r="D8" s="112"/>
      <c r="E8" s="1"/>
      <c r="F8" s="1"/>
    </row>
    <row r="9" spans="1:6" ht="15" customHeight="1" x14ac:dyDescent="0.25">
      <c r="A9" s="1"/>
      <c r="B9" s="53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64" t="s">
        <v>228</v>
      </c>
      <c r="C10" s="9">
        <v>7217340</v>
      </c>
      <c r="D10" s="14" t="s">
        <v>3</v>
      </c>
      <c r="E10" s="1"/>
      <c r="F10" s="1"/>
    </row>
    <row r="11" spans="1:6" x14ac:dyDescent="0.25">
      <c r="A11" s="1"/>
      <c r="B11" s="64" t="s">
        <v>229</v>
      </c>
      <c r="C11" s="9">
        <v>61105</v>
      </c>
      <c r="D11" s="14" t="s">
        <v>3</v>
      </c>
      <c r="E11" s="1"/>
      <c r="F11" s="1"/>
    </row>
    <row r="12" spans="1:6" x14ac:dyDescent="0.25">
      <c r="A12" s="1"/>
      <c r="B12" s="64" t="s">
        <v>230</v>
      </c>
      <c r="C12" s="9">
        <v>4703302</v>
      </c>
      <c r="D12" s="14" t="s">
        <v>3</v>
      </c>
      <c r="E12" s="1"/>
      <c r="F12" s="1"/>
    </row>
    <row r="13" spans="1:6" x14ac:dyDescent="0.25">
      <c r="A13" s="1"/>
      <c r="B13" s="64" t="s">
        <v>231</v>
      </c>
      <c r="C13" s="9">
        <v>84593</v>
      </c>
      <c r="D13" s="14" t="s">
        <v>3</v>
      </c>
      <c r="E13" s="1"/>
      <c r="F13" s="1"/>
    </row>
    <row r="14" spans="1:6" x14ac:dyDescent="0.25">
      <c r="A14" s="1"/>
      <c r="B14" s="56" t="s">
        <v>204</v>
      </c>
      <c r="C14" s="12">
        <f>SUM(C10:C13)</f>
        <v>12066340</v>
      </c>
      <c r="D14" s="13" t="s">
        <v>3</v>
      </c>
      <c r="E14" s="1"/>
      <c r="F14" s="1"/>
    </row>
    <row r="15" spans="1:6" x14ac:dyDescent="0.25">
      <c r="A15" s="1"/>
      <c r="B15" s="56" t="s">
        <v>205</v>
      </c>
      <c r="C15" s="12">
        <f>C14*(1+'Fane 12. Nøgletal'!C14)^2</f>
        <v>12146109.246442601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9nWz/nukW64TFjUyQc7js7RyjrhOyCYvN3w6dG53hbCYYtrKPFI0zPQSp7eYNcr6WPSqj1DqzaHjwCn5ogWHUg==" saltValue="ryI0VUUNkDpAFdtuM2V5/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5" t="s">
        <v>220</v>
      </c>
      <c r="C3" s="95"/>
      <c r="D3" s="95"/>
      <c r="E3" s="95"/>
      <c r="F3" s="95"/>
      <c r="G3" s="1"/>
    </row>
    <row r="4" spans="1:7" ht="15" customHeight="1" x14ac:dyDescent="0.25">
      <c r="A4" s="1"/>
      <c r="B4" s="95"/>
      <c r="C4" s="95"/>
      <c r="D4" s="95"/>
      <c r="E4" s="95"/>
      <c r="F4" s="95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0" t="s">
        <v>233</v>
      </c>
      <c r="C8" s="111"/>
      <c r="D8" s="111"/>
      <c r="E8" s="111"/>
      <c r="F8" s="112"/>
      <c r="G8" s="1"/>
    </row>
    <row r="9" spans="1:7" x14ac:dyDescent="0.25">
      <c r="A9" s="1"/>
      <c r="B9" s="113" t="s">
        <v>234</v>
      </c>
      <c r="C9" s="114"/>
      <c r="D9" s="115"/>
      <c r="E9" s="9">
        <v>-284591.7856557332</v>
      </c>
      <c r="F9" s="14" t="s">
        <v>3</v>
      </c>
      <c r="G9" s="1"/>
    </row>
    <row r="10" spans="1:7" x14ac:dyDescent="0.25">
      <c r="A10" s="1"/>
      <c r="B10" s="113" t="s">
        <v>235</v>
      </c>
      <c r="C10" s="114"/>
      <c r="D10" s="115"/>
      <c r="E10" s="9">
        <v>-86977.990845538676</v>
      </c>
      <c r="F10" s="14" t="s">
        <v>3</v>
      </c>
      <c r="G10" s="1"/>
    </row>
    <row r="11" spans="1:7" x14ac:dyDescent="0.25">
      <c r="A11" s="1"/>
      <c r="B11" s="113" t="s">
        <v>236</v>
      </c>
      <c r="C11" s="114"/>
      <c r="D11" s="115"/>
      <c r="E11" s="9">
        <v>306409.36144027859</v>
      </c>
      <c r="F11" s="14" t="s">
        <v>3</v>
      </c>
      <c r="G11" s="1"/>
    </row>
    <row r="12" spans="1:7" x14ac:dyDescent="0.25">
      <c r="A12" s="1"/>
      <c r="B12" s="113" t="s">
        <v>237</v>
      </c>
      <c r="C12" s="114"/>
      <c r="D12" s="115"/>
      <c r="E12" s="9">
        <f>IF(OR(AND(E10&gt;0,E11&lt;0),AND(E11&lt;0,E34&gt;0)),E17+E18,E11)</f>
        <v>306409.36144027859</v>
      </c>
      <c r="F12" s="14" t="s">
        <v>3</v>
      </c>
      <c r="G12" s="1"/>
    </row>
    <row r="13" spans="1:7" x14ac:dyDescent="0.25">
      <c r="A13" s="1"/>
      <c r="B13" s="56"/>
      <c r="C13" s="57"/>
      <c r="D13" s="57"/>
      <c r="E13" s="57"/>
      <c r="F13" s="20"/>
      <c r="G13" s="1"/>
    </row>
    <row r="14" spans="1:7" ht="54.75" customHeight="1" x14ac:dyDescent="0.25">
      <c r="A14" s="1"/>
      <c r="B14" s="99" t="s">
        <v>238</v>
      </c>
      <c r="C14" s="100"/>
      <c r="D14" s="100"/>
      <c r="E14" s="100"/>
      <c r="F14" s="101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0" t="s">
        <v>239</v>
      </c>
      <c r="C16" s="111"/>
      <c r="D16" s="111"/>
      <c r="E16" s="111"/>
      <c r="F16" s="112"/>
      <c r="G16" s="1"/>
    </row>
    <row r="17" spans="1:7" x14ac:dyDescent="0.25">
      <c r="A17" s="1"/>
      <c r="B17" s="113" t="s">
        <v>240</v>
      </c>
      <c r="C17" s="114"/>
      <c r="D17" s="115"/>
      <c r="E17" s="9">
        <v>-43488.995422769338</v>
      </c>
      <c r="F17" s="14" t="s">
        <v>3</v>
      </c>
      <c r="G17" s="1"/>
    </row>
    <row r="18" spans="1:7" x14ac:dyDescent="0.25">
      <c r="A18" s="1"/>
      <c r="B18" s="113" t="s">
        <v>241</v>
      </c>
      <c r="C18" s="114"/>
      <c r="D18" s="115"/>
      <c r="E18" s="9">
        <v>-43488.995422769338</v>
      </c>
      <c r="F18" s="14" t="s">
        <v>3</v>
      </c>
      <c r="G18" s="1"/>
    </row>
    <row r="19" spans="1:7" x14ac:dyDescent="0.25">
      <c r="A19" s="1"/>
      <c r="B19" s="56"/>
      <c r="C19" s="57"/>
      <c r="D19" s="57"/>
      <c r="E19" s="57"/>
      <c r="F19" s="20"/>
      <c r="G19" s="1"/>
    </row>
    <row r="20" spans="1:7" ht="30" customHeight="1" x14ac:dyDescent="0.25">
      <c r="A20" s="1"/>
      <c r="B20" s="99" t="s">
        <v>242</v>
      </c>
      <c r="C20" s="100"/>
      <c r="D20" s="100"/>
      <c r="E20" s="100"/>
      <c r="F20" s="101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8" t="s">
        <v>206</v>
      </c>
      <c r="C22" s="59"/>
      <c r="D22" s="59"/>
      <c r="E22" s="59"/>
      <c r="F22" s="60"/>
      <c r="G22" s="1"/>
    </row>
    <row r="23" spans="1:7" x14ac:dyDescent="0.25">
      <c r="A23" s="1"/>
      <c r="B23" s="61" t="s">
        <v>207</v>
      </c>
      <c r="C23" s="62"/>
      <c r="D23" s="63"/>
      <c r="E23" s="9">
        <v>25443061.117690776</v>
      </c>
      <c r="F23" s="14" t="s">
        <v>3</v>
      </c>
      <c r="G23" s="1"/>
    </row>
    <row r="24" spans="1:7" x14ac:dyDescent="0.25">
      <c r="A24" s="1"/>
      <c r="B24" s="61" t="s">
        <v>208</v>
      </c>
      <c r="C24" s="62"/>
      <c r="D24" s="63"/>
      <c r="E24" s="9">
        <v>24445378</v>
      </c>
      <c r="F24" s="14" t="s">
        <v>3</v>
      </c>
      <c r="G24" s="1"/>
    </row>
    <row r="25" spans="1:7" x14ac:dyDescent="0.25">
      <c r="A25" s="1"/>
      <c r="B25" s="61" t="s">
        <v>34</v>
      </c>
      <c r="C25" s="62"/>
      <c r="D25" s="63"/>
      <c r="E25" s="9">
        <v>0</v>
      </c>
      <c r="F25" s="14" t="s">
        <v>3</v>
      </c>
      <c r="G25" s="1"/>
    </row>
    <row r="26" spans="1:7" x14ac:dyDescent="0.25">
      <c r="A26" s="1"/>
      <c r="B26" s="65" t="s">
        <v>251</v>
      </c>
      <c r="C26" s="66"/>
      <c r="D26" s="67"/>
      <c r="E26" s="44">
        <f>E23-(E24-E25)</f>
        <v>997683.11769077554</v>
      </c>
      <c r="F26" s="17" t="s">
        <v>3</v>
      </c>
      <c r="G26" s="1"/>
    </row>
    <row r="27" spans="1:7" x14ac:dyDescent="0.25">
      <c r="A27" s="1"/>
      <c r="B27" s="56"/>
      <c r="C27" s="57"/>
      <c r="D27" s="57"/>
      <c r="E27" s="57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0" t="s">
        <v>243</v>
      </c>
      <c r="C29" s="111"/>
      <c r="D29" s="111"/>
      <c r="E29" s="111"/>
      <c r="F29" s="112"/>
      <c r="G29" s="1"/>
    </row>
    <row r="30" spans="1:7" x14ac:dyDescent="0.25">
      <c r="A30" s="1"/>
      <c r="B30" s="128" t="s">
        <v>244</v>
      </c>
      <c r="C30" s="129"/>
      <c r="D30" s="130"/>
      <c r="E30" s="10">
        <v>-43488.995422769338</v>
      </c>
      <c r="F30" s="17" t="s">
        <v>3</v>
      </c>
      <c r="G30" s="1"/>
    </row>
    <row r="31" spans="1:7" x14ac:dyDescent="0.25">
      <c r="A31" s="1"/>
      <c r="B31" s="110"/>
      <c r="C31" s="111"/>
      <c r="D31" s="111"/>
      <c r="E31" s="111"/>
      <c r="F31" s="112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0" t="s">
        <v>245</v>
      </c>
      <c r="C33" s="111"/>
      <c r="D33" s="111"/>
      <c r="E33" s="111"/>
      <c r="F33" s="112"/>
      <c r="G33" s="1"/>
    </row>
    <row r="34" spans="1:7" x14ac:dyDescent="0.25">
      <c r="A34" s="1"/>
      <c r="B34" s="135" t="s">
        <v>252</v>
      </c>
      <c r="C34" s="136"/>
      <c r="D34" s="137"/>
      <c r="E34" s="9">
        <v>0</v>
      </c>
      <c r="F34" s="14"/>
      <c r="G34" s="1"/>
    </row>
    <row r="35" spans="1:7" x14ac:dyDescent="0.25">
      <c r="A35" s="1"/>
      <c r="B35" s="135" t="s">
        <v>161</v>
      </c>
      <c r="C35" s="136"/>
      <c r="D35" s="137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5" t="s">
        <v>110</v>
      </c>
      <c r="C36" s="136"/>
      <c r="D36" s="137"/>
      <c r="E36" s="9">
        <v>4</v>
      </c>
      <c r="F36" s="14" t="s">
        <v>19</v>
      </c>
      <c r="G36" s="1"/>
    </row>
    <row r="37" spans="1:7" x14ac:dyDescent="0.25">
      <c r="A37" s="1"/>
      <c r="B37" s="134" t="s">
        <v>160</v>
      </c>
      <c r="C37" s="134"/>
      <c r="D37" s="134"/>
      <c r="E37" s="10">
        <f>E35/E36</f>
        <v>0</v>
      </c>
      <c r="F37" s="17" t="s">
        <v>3</v>
      </c>
      <c r="G37" s="1"/>
    </row>
    <row r="38" spans="1:7" x14ac:dyDescent="0.25">
      <c r="A38" s="1"/>
      <c r="B38" s="131"/>
      <c r="C38" s="132"/>
      <c r="D38" s="132"/>
      <c r="E38" s="132"/>
      <c r="F38" s="133"/>
      <c r="G38" s="1"/>
    </row>
    <row r="39" spans="1:7" ht="75" customHeight="1" x14ac:dyDescent="0.25">
      <c r="A39" s="1"/>
      <c r="B39" s="99" t="s">
        <v>250</v>
      </c>
      <c r="C39" s="100"/>
      <c r="D39" s="100"/>
      <c r="E39" s="100"/>
      <c r="F39" s="10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6bd0Dkf2UD8RbUNF4UPCnSbUgnx7nvT6JdWdN/tmlaQyd5CP18ThmcVZRC94G8baePO2GqUUaNKvxyz7k6MAjQ==" saltValue="Z/Ac5wyqwPABkpew9+m4Ig==" spinCount="100000" sheet="1" objects="1" scenarios="1"/>
  <mergeCells count="21">
    <mergeCell ref="B38:F38"/>
    <mergeCell ref="B39:F39"/>
    <mergeCell ref="B37:D37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  <mergeCell ref="B3:F4"/>
    <mergeCell ref="B17:D17"/>
    <mergeCell ref="B9:D9"/>
    <mergeCell ref="B29:F29"/>
    <mergeCell ref="B30:D3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169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0" t="s">
        <v>157</v>
      </c>
      <c r="C8" s="111"/>
      <c r="D8" s="111"/>
      <c r="E8" s="111"/>
      <c r="F8" s="111"/>
      <c r="G8" s="111"/>
      <c r="H8" s="112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0"/>
      <c r="I9" s="1"/>
    </row>
    <row r="10" spans="1:9" x14ac:dyDescent="0.25">
      <c r="A10" s="1"/>
      <c r="B10" s="45" t="s">
        <v>253</v>
      </c>
      <c r="C10" s="46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0" t="s">
        <v>158</v>
      </c>
      <c r="C11" s="111"/>
      <c r="D11" s="112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Uk/tIAdrVACbsFnNUeWEPGQZAP47GArsXyTFXIDM3qGiLEx4QcrXOeszFQNwY6dF2RDBVc/aA3P0CBa3BUKGRg==" saltValue="ae6oJINxzqTMspgsDVzOA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168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6" t="s">
        <v>84</v>
      </c>
      <c r="C8" s="57"/>
      <c r="D8" s="57"/>
      <c r="E8" s="57"/>
      <c r="F8" s="20"/>
      <c r="G8" s="1"/>
    </row>
    <row r="9" spans="1:7" ht="17.25" customHeight="1" x14ac:dyDescent="0.25">
      <c r="A9" s="1"/>
      <c r="B9" s="54" t="s">
        <v>16</v>
      </c>
      <c r="C9" s="54" t="s">
        <v>11</v>
      </c>
      <c r="D9" s="55"/>
      <c r="E9" s="54" t="s">
        <v>32</v>
      </c>
      <c r="F9" s="50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226</v>
      </c>
      <c r="C11" s="22">
        <v>99631</v>
      </c>
      <c r="D11" s="14" t="s">
        <v>3</v>
      </c>
      <c r="E11" s="9">
        <v>1117525</v>
      </c>
      <c r="F11" s="14" t="s">
        <v>3</v>
      </c>
      <c r="G11" s="1"/>
    </row>
    <row r="12" spans="1:7" x14ac:dyDescent="0.25">
      <c r="A12" s="1"/>
      <c r="B12" s="25" t="s">
        <v>246</v>
      </c>
      <c r="C12" s="22">
        <v>22792</v>
      </c>
      <c r="D12" s="14" t="s">
        <v>3</v>
      </c>
      <c r="E12" s="9">
        <v>193914</v>
      </c>
      <c r="F12" s="14" t="s">
        <v>3</v>
      </c>
      <c r="G12" s="1"/>
    </row>
    <row r="13" spans="1:7" x14ac:dyDescent="0.25">
      <c r="A13" s="1"/>
      <c r="B13" s="56" t="s">
        <v>136</v>
      </c>
      <c r="C13" s="12">
        <f>SUM(C10:C12)</f>
        <v>122423</v>
      </c>
      <c r="D13" s="13" t="s">
        <v>3</v>
      </c>
      <c r="E13" s="12">
        <f>SUM(E10:E12)</f>
        <v>1311439</v>
      </c>
      <c r="F13" s="13" t="s">
        <v>3</v>
      </c>
      <c r="G13" s="1"/>
    </row>
    <row r="14" spans="1:7" x14ac:dyDescent="0.25">
      <c r="A14" s="1"/>
      <c r="B14" s="56" t="s">
        <v>209</v>
      </c>
      <c r="C14" s="12">
        <f>C13*(1+'Fane 12. Nøgletal'!C14)</f>
        <v>122826.99590000001</v>
      </c>
      <c r="D14" s="13" t="s">
        <v>3</v>
      </c>
      <c r="E14" s="12">
        <f>E13*(1+'Fane 12. Nøgletal'!C14)</f>
        <v>1315766.7487000001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KjNk4dtzDpNgg1G/sazb89QMGO5YaT8oca/8zsIVGALc11uMfEKPg/NrVxafibPnPsEhpr7VKgWesJoH/GNK2w==" saltValue="xLYGyuxblZmKX9ywfKBLX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167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0" t="s">
        <v>102</v>
      </c>
      <c r="C8" s="111"/>
      <c r="D8" s="111"/>
      <c r="E8" s="111"/>
      <c r="F8" s="112"/>
      <c r="G8" s="1"/>
    </row>
    <row r="9" spans="1:7" x14ac:dyDescent="0.25">
      <c r="A9" s="1"/>
      <c r="B9" s="54" t="s">
        <v>16</v>
      </c>
      <c r="C9" s="54" t="s">
        <v>11</v>
      </c>
      <c r="D9" s="55"/>
      <c r="E9" s="54" t="s">
        <v>32</v>
      </c>
      <c r="F9" s="50"/>
      <c r="G9" s="1"/>
    </row>
    <row r="10" spans="1:7" x14ac:dyDescent="0.25">
      <c r="A10" s="1"/>
      <c r="B10" s="25" t="s">
        <v>247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6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6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0" t="s">
        <v>103</v>
      </c>
      <c r="C16" s="111"/>
      <c r="D16" s="111"/>
      <c r="E16" s="111"/>
      <c r="F16" s="112"/>
      <c r="G16" s="1"/>
    </row>
    <row r="17" spans="1:7" x14ac:dyDescent="0.25">
      <c r="A17" s="1"/>
      <c r="B17" s="54" t="s">
        <v>16</v>
      </c>
      <c r="C17" s="54" t="s">
        <v>11</v>
      </c>
      <c r="D17" s="55"/>
      <c r="E17" s="54" t="s">
        <v>32</v>
      </c>
      <c r="F17" s="50"/>
      <c r="G17" s="1"/>
    </row>
    <row r="18" spans="1:7" x14ac:dyDescent="0.25">
      <c r="A18" s="1"/>
      <c r="B18" s="25" t="s">
        <v>247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6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6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0" t="s">
        <v>138</v>
      </c>
      <c r="C24" s="111"/>
      <c r="D24" s="111"/>
      <c r="E24" s="111"/>
      <c r="F24" s="112"/>
      <c r="G24" s="1"/>
    </row>
    <row r="25" spans="1:7" x14ac:dyDescent="0.25">
      <c r="A25" s="1"/>
      <c r="B25" s="54" t="s">
        <v>16</v>
      </c>
      <c r="C25" s="54" t="s">
        <v>11</v>
      </c>
      <c r="D25" s="55"/>
      <c r="E25" s="54" t="s">
        <v>32</v>
      </c>
      <c r="F25" s="50"/>
      <c r="G25" s="1"/>
    </row>
    <row r="26" spans="1:7" x14ac:dyDescent="0.25">
      <c r="A26" s="1"/>
      <c r="B26" s="25" t="s">
        <v>247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6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6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0" t="s">
        <v>211</v>
      </c>
      <c r="C32" s="111"/>
      <c r="D32" s="111"/>
      <c r="E32" s="111"/>
      <c r="F32" s="112"/>
      <c r="G32" s="1"/>
    </row>
    <row r="33" spans="1:7" x14ac:dyDescent="0.25">
      <c r="A33" s="1"/>
      <c r="B33" s="54" t="s">
        <v>16</v>
      </c>
      <c r="C33" s="54" t="s">
        <v>11</v>
      </c>
      <c r="D33" s="55"/>
      <c r="E33" s="54" t="s">
        <v>32</v>
      </c>
      <c r="F33" s="50"/>
      <c r="G33" s="1"/>
    </row>
    <row r="34" spans="1:7" x14ac:dyDescent="0.25">
      <c r="A34" s="1"/>
      <c r="B34" s="25" t="s">
        <v>247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6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6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VmB9rLwrPWnRPNR6tCP7uGJmahm94oYHnlp9ODJnKPd5KGseTtEyhjRZ+Su+Nep3DAhNYkrrzu+WECM0q1CvQQ==" saltValue="a/owrKey0oM8OIniUnWP1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5" t="s">
        <v>166</v>
      </c>
      <c r="C3" s="95"/>
      <c r="D3" s="95"/>
      <c r="E3" s="95"/>
      <c r="F3" s="95"/>
      <c r="G3" s="1"/>
    </row>
    <row r="4" spans="1:7" ht="25.5" customHeight="1" x14ac:dyDescent="0.25">
      <c r="A4" s="1"/>
      <c r="B4" s="95"/>
      <c r="C4" s="95"/>
      <c r="D4" s="95"/>
      <c r="E4" s="95"/>
      <c r="F4" s="9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0" t="s">
        <v>130</v>
      </c>
      <c r="C8" s="111"/>
      <c r="D8" s="111"/>
      <c r="E8" s="111"/>
      <c r="F8" s="112"/>
      <c r="G8" s="1"/>
    </row>
    <row r="9" spans="1:7" ht="15" customHeight="1" x14ac:dyDescent="0.25">
      <c r="A9" s="1"/>
      <c r="B9" s="49" t="s">
        <v>131</v>
      </c>
      <c r="C9" s="105" t="s">
        <v>11</v>
      </c>
      <c r="D9" s="107"/>
      <c r="E9" s="105" t="s">
        <v>32</v>
      </c>
      <c r="F9" s="107"/>
      <c r="G9" s="1"/>
    </row>
    <row r="10" spans="1:7" x14ac:dyDescent="0.25">
      <c r="A10" s="1"/>
      <c r="B10" s="25" t="s">
        <v>227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NnkfSY6AHD2yRE6rnbBwGPm4mDAciD2R6VlbW1jYPKvOG8DDBCTKldWP5P0wmkhdXiwPF6SQ5QFYQvHwhBWSJg==" saltValue="+40tRpnz6sxVEWZWBgXgb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5" t="s">
        <v>165</v>
      </c>
      <c r="C3" s="95"/>
      <c r="D3" s="95"/>
      <c r="E3" s="95"/>
      <c r="F3" s="95"/>
      <c r="G3" s="1"/>
    </row>
    <row r="4" spans="1:7" ht="25.5" customHeight="1" x14ac:dyDescent="0.25">
      <c r="A4" s="1"/>
      <c r="B4" s="95"/>
      <c r="C4" s="95"/>
      <c r="D4" s="95"/>
      <c r="E4" s="95"/>
      <c r="F4" s="9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0" t="s">
        <v>98</v>
      </c>
      <c r="C8" s="111"/>
      <c r="D8" s="111"/>
      <c r="E8" s="111"/>
      <c r="F8" s="112"/>
      <c r="G8" s="1"/>
    </row>
    <row r="9" spans="1:7" ht="15" customHeight="1" x14ac:dyDescent="0.25">
      <c r="A9" s="1"/>
      <c r="B9" s="49" t="s">
        <v>17</v>
      </c>
      <c r="C9" s="49" t="s">
        <v>11</v>
      </c>
      <c r="D9" s="50"/>
      <c r="E9" s="49" t="s">
        <v>32</v>
      </c>
      <c r="F9" s="50"/>
      <c r="G9" s="1"/>
    </row>
    <row r="10" spans="1:7" x14ac:dyDescent="0.25">
      <c r="A10" s="1"/>
      <c r="B10" s="25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6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6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0" t="s">
        <v>99</v>
      </c>
      <c r="C15" s="111"/>
      <c r="D15" s="111"/>
      <c r="E15" s="111"/>
      <c r="F15" s="112"/>
      <c r="G15" s="1"/>
    </row>
    <row r="16" spans="1:7" ht="26.25" x14ac:dyDescent="0.25">
      <c r="A16" s="1"/>
      <c r="B16" s="49" t="s">
        <v>17</v>
      </c>
      <c r="C16" s="49" t="s">
        <v>11</v>
      </c>
      <c r="D16" s="50"/>
      <c r="E16" s="49" t="s">
        <v>32</v>
      </c>
      <c r="F16" s="50"/>
      <c r="G16" s="1"/>
    </row>
    <row r="17" spans="1:7" x14ac:dyDescent="0.25">
      <c r="A17" s="1"/>
      <c r="B17" s="25" t="s">
        <v>232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6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6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0" t="s">
        <v>142</v>
      </c>
      <c r="C22" s="111"/>
      <c r="D22" s="111"/>
      <c r="E22" s="111"/>
      <c r="F22" s="112"/>
      <c r="G22" s="1"/>
    </row>
    <row r="23" spans="1:7" ht="26.25" x14ac:dyDescent="0.25">
      <c r="A23" s="1"/>
      <c r="B23" s="49" t="s">
        <v>17</v>
      </c>
      <c r="C23" s="49" t="s">
        <v>11</v>
      </c>
      <c r="D23" s="50"/>
      <c r="E23" s="49" t="s">
        <v>32</v>
      </c>
      <c r="F23" s="50"/>
      <c r="G23" s="1"/>
    </row>
    <row r="24" spans="1:7" x14ac:dyDescent="0.25">
      <c r="A24" s="1"/>
      <c r="B24" s="25" t="s">
        <v>232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6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6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0" t="s">
        <v>214</v>
      </c>
      <c r="C29" s="111"/>
      <c r="D29" s="111"/>
      <c r="E29" s="111"/>
      <c r="F29" s="112"/>
      <c r="G29" s="1"/>
    </row>
    <row r="30" spans="1:7" ht="26.25" x14ac:dyDescent="0.25">
      <c r="A30" s="1"/>
      <c r="B30" s="49" t="s">
        <v>17</v>
      </c>
      <c r="C30" s="49" t="s">
        <v>11</v>
      </c>
      <c r="D30" s="50"/>
      <c r="E30" s="49" t="s">
        <v>32</v>
      </c>
      <c r="F30" s="50"/>
      <c r="G30" s="1"/>
    </row>
    <row r="31" spans="1:7" x14ac:dyDescent="0.25">
      <c r="A31" s="1"/>
      <c r="B31" s="25" t="s">
        <v>232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6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6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omBNksaSwf0FQsCUg6gQgOk5JyGT+vKW9PiKI8rii3nMNeBSLkTvNCfR+CCo1jKKx0Cpif+cBPRnKoArwJmlwQ==" saltValue="EEY5MSEBKYZCZqxzzpyCp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5" t="s">
        <v>164</v>
      </c>
      <c r="C3" s="95"/>
      <c r="D3" s="1"/>
    </row>
    <row r="4" spans="1:4" ht="25.5" customHeight="1" x14ac:dyDescent="0.25">
      <c r="A4" s="1"/>
      <c r="B4" s="95"/>
      <c r="C4" s="9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6" t="s">
        <v>14</v>
      </c>
      <c r="C8" s="20"/>
      <c r="D8" s="1"/>
    </row>
    <row r="9" spans="1:4" x14ac:dyDescent="0.25">
      <c r="A9" s="1"/>
      <c r="B9" s="64" t="s">
        <v>118</v>
      </c>
      <c r="C9" s="26">
        <v>1.2699999999999999E-2</v>
      </c>
      <c r="D9" s="1"/>
    </row>
    <row r="10" spans="1:4" x14ac:dyDescent="0.25">
      <c r="A10" s="1"/>
      <c r="B10" s="64" t="s">
        <v>22</v>
      </c>
      <c r="C10" s="26">
        <v>1.7500000000000002E-2</v>
      </c>
      <c r="D10" s="1"/>
    </row>
    <row r="11" spans="1:4" x14ac:dyDescent="0.25">
      <c r="A11" s="1"/>
      <c r="B11" s="64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47">
        <v>3.3E-3</v>
      </c>
      <c r="D14" s="1"/>
    </row>
    <row r="15" spans="1:4" x14ac:dyDescent="0.25">
      <c r="A15" s="1"/>
      <c r="B15" s="110"/>
      <c r="C15" s="112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6" t="s">
        <v>106</v>
      </c>
      <c r="C18" s="20"/>
      <c r="D18" s="1"/>
    </row>
    <row r="19" spans="1:4" x14ac:dyDescent="0.25">
      <c r="A19" s="1"/>
      <c r="B19" s="64" t="s">
        <v>120</v>
      </c>
      <c r="C19" s="23">
        <v>9.1000000000000004E-3</v>
      </c>
      <c r="D19" s="1"/>
    </row>
    <row r="20" spans="1:4" x14ac:dyDescent="0.25">
      <c r="A20" s="1"/>
      <c r="B20" s="64" t="s">
        <v>121</v>
      </c>
      <c r="C20" s="23">
        <v>1.77E-2</v>
      </c>
      <c r="D20" s="1"/>
    </row>
    <row r="21" spans="1:4" x14ac:dyDescent="0.25">
      <c r="A21" s="1"/>
      <c r="B21" s="64" t="s">
        <v>122</v>
      </c>
      <c r="C21" s="23">
        <v>8.6999999999999994E-3</v>
      </c>
      <c r="D21" s="1"/>
    </row>
    <row r="22" spans="1:4" x14ac:dyDescent="0.25">
      <c r="A22" s="1"/>
      <c r="B22" s="64" t="s">
        <v>123</v>
      </c>
      <c r="C22" s="35">
        <v>2.8400000000000002E-2</v>
      </c>
      <c r="D22" s="1"/>
    </row>
    <row r="23" spans="1:4" x14ac:dyDescent="0.25">
      <c r="A23" s="1"/>
      <c r="B23" s="64" t="s">
        <v>146</v>
      </c>
      <c r="C23" s="35">
        <v>2.75E-2</v>
      </c>
      <c r="D23" s="1"/>
    </row>
    <row r="24" spans="1:4" x14ac:dyDescent="0.25">
      <c r="A24" s="1"/>
      <c r="B24" s="64" t="s">
        <v>217</v>
      </c>
      <c r="C24" s="35">
        <v>1.4800000000000001E-2</v>
      </c>
      <c r="D24" s="1"/>
    </row>
    <row r="25" spans="1:4" x14ac:dyDescent="0.25">
      <c r="A25" s="1"/>
      <c r="B25" s="56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6" t="s">
        <v>107</v>
      </c>
      <c r="C28" s="20"/>
      <c r="D28" s="1"/>
    </row>
    <row r="29" spans="1:4" x14ac:dyDescent="0.25">
      <c r="A29" s="1"/>
      <c r="B29" s="64" t="s">
        <v>124</v>
      </c>
      <c r="C29" s="26">
        <v>0.02</v>
      </c>
      <c r="D29" s="1"/>
    </row>
    <row r="30" spans="1:4" x14ac:dyDescent="0.25">
      <c r="A30" s="1"/>
      <c r="B30" s="56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DweS3Lvlsm1on/5zjAomrv49Qee3Wiun0i+QMQjqk4MMJps6BTbDTIWuqtSziz1t9vcCoGMS7mbcGvyvBPfgJA==" saltValue="LhkbI39RPNgtSRD6ZnxYQg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183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6" t="s">
        <v>13</v>
      </c>
      <c r="C8" s="57"/>
      <c r="D8" s="20"/>
      <c r="E8" s="1"/>
    </row>
    <row r="9" spans="1:5" x14ac:dyDescent="0.25">
      <c r="A9" s="1"/>
      <c r="B9" s="52" t="s">
        <v>24</v>
      </c>
      <c r="C9" s="7">
        <f>'Fane 3. Omkostninger i ØR2021'!E20</f>
        <v>9758782.443989424</v>
      </c>
      <c r="D9" s="8" t="s">
        <v>3</v>
      </c>
      <c r="E9" s="1"/>
    </row>
    <row r="10" spans="1:5" x14ac:dyDescent="0.25">
      <c r="A10" s="1"/>
      <c r="B10" s="48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4663.012984552126</v>
      </c>
      <c r="D10" s="8" t="s">
        <v>3</v>
      </c>
      <c r="E10" s="1"/>
    </row>
    <row r="11" spans="1:5" x14ac:dyDescent="0.25">
      <c r="A11" s="1"/>
      <c r="B11" s="48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1800.2622614215045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tillæg'!C14</f>
        <v>122826.99590000001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tillæg'!E14</f>
        <v>1315766.7487000001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123804.50517385098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-103735.06091122319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-125010.62583504381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-148402.95426730305</v>
      </c>
      <c r="D21" s="8" t="s">
        <v>3</v>
      </c>
      <c r="E21" s="1"/>
    </row>
    <row r="22" spans="1:5" ht="17.100000000000001" customHeight="1" x14ac:dyDescent="0.25">
      <c r="A22" s="1"/>
      <c r="B22" s="65" t="s">
        <v>20</v>
      </c>
      <c r="C22" s="10">
        <f>SUM(C9,C12:C21)</f>
        <v>10944032.052749705</v>
      </c>
      <c r="D22" s="11" t="s">
        <v>3</v>
      </c>
      <c r="E22" s="1"/>
    </row>
    <row r="23" spans="1:5" ht="15" customHeight="1" x14ac:dyDescent="0.25">
      <c r="A23" s="1"/>
      <c r="B23" s="56" t="s">
        <v>12</v>
      </c>
      <c r="C23" s="57"/>
      <c r="D23" s="20"/>
      <c r="E23" s="1"/>
    </row>
    <row r="24" spans="1:5" ht="15" customHeight="1" x14ac:dyDescent="0.25">
      <c r="A24" s="1"/>
      <c r="B24" s="49" t="s">
        <v>12</v>
      </c>
      <c r="C24" s="10">
        <f>'Fane 6. Ikke-påvirkelige omk.'!C15</f>
        <v>12146109.246442601</v>
      </c>
      <c r="D24" s="11" t="s">
        <v>3</v>
      </c>
      <c r="E24" s="1"/>
    </row>
    <row r="25" spans="1:5" ht="15" customHeight="1" x14ac:dyDescent="0.25">
      <c r="A25" s="1"/>
      <c r="B25" s="56" t="s">
        <v>89</v>
      </c>
      <c r="C25" s="57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5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7"/>
      <c r="D29" s="20"/>
      <c r="E29" s="1"/>
    </row>
    <row r="30" spans="1:5" x14ac:dyDescent="0.25">
      <c r="A30" s="1"/>
      <c r="B30" s="68" t="s">
        <v>162</v>
      </c>
      <c r="C30" s="10">
        <f>'Fane 7. Kontrol af ØR2020'!E30</f>
        <v>-43488.995422769338</v>
      </c>
      <c r="D30" s="11" t="s">
        <v>3</v>
      </c>
      <c r="E30" s="1"/>
    </row>
    <row r="31" spans="1:5" x14ac:dyDescent="0.25">
      <c r="A31" s="1"/>
      <c r="B31" s="36" t="s">
        <v>224</v>
      </c>
      <c r="C31" s="57"/>
      <c r="D31" s="20"/>
      <c r="E31" s="1"/>
    </row>
    <row r="32" spans="1:5" x14ac:dyDescent="0.25">
      <c r="A32" s="1"/>
      <c r="B32" s="68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6" t="s">
        <v>30</v>
      </c>
      <c r="C33" s="31">
        <f>SUM(C22,C24,C28,C30,C32)</f>
        <v>23046652.303769536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UKBarvwoX+kgiZcL8NNJYO7jT1y7J73u/e6z33na7ltmkSq1Rw1hYHez/uy1qZTtUD1c3RprvfnQ6iHaGSm56w==" saltValue="t1H6gdZnMq8jxHHrxmOmf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184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21</v>
      </c>
      <c r="C5" s="88"/>
      <c r="D5" s="8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6" t="s">
        <v>13</v>
      </c>
      <c r="C7" s="57"/>
      <c r="D7" s="20"/>
      <c r="E7" s="1"/>
    </row>
    <row r="8" spans="1:5" ht="15" customHeight="1" x14ac:dyDescent="0.25">
      <c r="A8" s="1"/>
      <c r="B8" s="52" t="s">
        <v>134</v>
      </c>
      <c r="C8" s="7">
        <f>'Fane 2.1. Økonomisk ramme 2022'!C22</f>
        <v>10944032.052749705</v>
      </c>
      <c r="D8" s="8" t="s">
        <v>3</v>
      </c>
      <c r="E8" s="1"/>
    </row>
    <row r="9" spans="1:5" ht="15" customHeight="1" x14ac:dyDescent="0.25">
      <c r="A9" s="1"/>
      <c r="B9" s="30" t="s">
        <v>28</v>
      </c>
      <c r="C9" s="7">
        <f>-'Fane 11. Bortfald'!C19</f>
        <v>0</v>
      </c>
      <c r="D9" s="8" t="s">
        <v>3</v>
      </c>
      <c r="E9" s="1"/>
    </row>
    <row r="10" spans="1:5" ht="15" customHeight="1" x14ac:dyDescent="0.25">
      <c r="A10" s="1"/>
      <c r="B10" s="30" t="s">
        <v>27</v>
      </c>
      <c r="C10" s="7">
        <f>-'Fane 11. Bortfald'!E19</f>
        <v>0</v>
      </c>
      <c r="D10" s="8" t="s">
        <v>3</v>
      </c>
      <c r="E10" s="1"/>
    </row>
    <row r="11" spans="1:5" ht="15" customHeight="1" x14ac:dyDescent="0.25">
      <c r="A11" s="1"/>
      <c r="B11" s="48" t="s">
        <v>18</v>
      </c>
      <c r="C11" s="9">
        <f>SUM(C8:C10)*'Fane 12. Nøgletal'!C14</f>
        <v>36115.305774074026</v>
      </c>
      <c r="D11" s="8" t="s">
        <v>3</v>
      </c>
      <c r="E11" s="1"/>
    </row>
    <row r="12" spans="1:5" ht="15" customHeight="1" x14ac:dyDescent="0.25">
      <c r="A12" s="1"/>
      <c r="B12" s="48" t="s">
        <v>9</v>
      </c>
      <c r="C12" s="9">
        <f>-SUM(C8:C11)*'Fane 5. Individuelt eff. krav'!G10</f>
        <v>-100610.20010732173</v>
      </c>
      <c r="D12" s="8" t="s">
        <v>3</v>
      </c>
      <c r="E12" s="1"/>
    </row>
    <row r="13" spans="1:5" ht="15" customHeight="1" x14ac:dyDescent="0.25">
      <c r="A13" s="1"/>
      <c r="B13" s="48" t="s">
        <v>25</v>
      </c>
      <c r="C13" s="9">
        <f>-'Fane 4.1. Gen. krav - drift'!G44</f>
        <v>-122914.69768229348</v>
      </c>
      <c r="D13" s="8" t="s">
        <v>3</v>
      </c>
      <c r="E13" s="1"/>
    </row>
    <row r="14" spans="1:5" ht="15" customHeight="1" x14ac:dyDescent="0.25">
      <c r="A14" s="1"/>
      <c r="B14" s="48" t="s">
        <v>26</v>
      </c>
      <c r="C14" s="9">
        <f>-'Fane 4.2. Gen. krav - anlæg'!G44</f>
        <v>-86980.322486373843</v>
      </c>
      <c r="D14" s="8" t="s">
        <v>3</v>
      </c>
      <c r="E14" s="1"/>
    </row>
    <row r="15" spans="1:5" ht="15" customHeight="1" x14ac:dyDescent="0.25">
      <c r="A15" s="1"/>
      <c r="B15" s="53" t="s">
        <v>20</v>
      </c>
      <c r="C15" s="10">
        <f>SUM(C8:C14)</f>
        <v>10669642.13824779</v>
      </c>
      <c r="D15" s="11" t="s">
        <v>3</v>
      </c>
      <c r="E15" s="1"/>
    </row>
    <row r="16" spans="1:5" x14ac:dyDescent="0.25">
      <c r="A16" s="1"/>
      <c r="B16" s="56" t="s">
        <v>12</v>
      </c>
      <c r="C16" s="57"/>
      <c r="D16" s="20"/>
      <c r="E16" s="1"/>
    </row>
    <row r="17" spans="1:5" ht="15" customHeight="1" x14ac:dyDescent="0.25">
      <c r="A17" s="1"/>
      <c r="B17" s="49" t="s">
        <v>12</v>
      </c>
      <c r="C17" s="10">
        <f>'Fane 6. Ikke-påvirkelige omk.'!C15*(1+'Fane 12. Nøgletal'!C14)</f>
        <v>12186191.406955862</v>
      </c>
      <c r="D17" s="11" t="s">
        <v>3</v>
      </c>
      <c r="E17" s="1"/>
    </row>
    <row r="18" spans="1:5" ht="15" customHeight="1" x14ac:dyDescent="0.25">
      <c r="A18" s="1"/>
      <c r="B18" s="56" t="s">
        <v>89</v>
      </c>
      <c r="C18" s="57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Engangstillæg'!C22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Engangstillæg'!E22</f>
        <v>0</v>
      </c>
      <c r="D20" s="8" t="s">
        <v>3</v>
      </c>
      <c r="E20" s="1"/>
    </row>
    <row r="21" spans="1:5" ht="15" customHeight="1" x14ac:dyDescent="0.25">
      <c r="A21" s="1"/>
      <c r="B21" s="65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6" t="s">
        <v>161</v>
      </c>
      <c r="C22" s="57"/>
      <c r="D22" s="20"/>
      <c r="E22" s="1"/>
    </row>
    <row r="23" spans="1:5" ht="15" customHeight="1" x14ac:dyDescent="0.25">
      <c r="A23" s="1"/>
      <c r="B23" s="68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7"/>
      <c r="D24" s="20"/>
      <c r="E24" s="1"/>
    </row>
    <row r="25" spans="1:5" x14ac:dyDescent="0.25">
      <c r="A25" s="1"/>
      <c r="B25" s="68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6" t="s">
        <v>97</v>
      </c>
      <c r="C26" s="12">
        <f>SUM(C15,C17,C21,C23,C25)</f>
        <v>22855833.545203652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cJgLpKNBwlGkrp4rjZvxa6IsFJEvcsonfbWuM1YV6EkrKLpTs6IZIJ9uIb1JmhW/CQMpQCplRV0ozbS2FIS98A==" saltValue="BmCMyKJc48hmkhiI0kBEf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185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21</v>
      </c>
      <c r="C5" s="88"/>
      <c r="D5" s="8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6" t="s">
        <v>13</v>
      </c>
      <c r="C7" s="57"/>
      <c r="D7" s="20"/>
      <c r="E7" s="1"/>
    </row>
    <row r="8" spans="1:5" ht="15" customHeight="1" x14ac:dyDescent="0.25">
      <c r="A8" s="1"/>
      <c r="B8" s="52" t="s">
        <v>135</v>
      </c>
      <c r="C8" s="7">
        <f>'Fane 2.2. Økonomisk ramme 2023'!C15</f>
        <v>10669642.13824779</v>
      </c>
      <c r="D8" s="8" t="s">
        <v>3</v>
      </c>
      <c r="E8" s="1"/>
    </row>
    <row r="9" spans="1:5" ht="15" customHeight="1" x14ac:dyDescent="0.25">
      <c r="A9" s="1"/>
      <c r="B9" s="52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2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8" t="s">
        <v>18</v>
      </c>
      <c r="C11" s="9">
        <f>SUM(C8:C10)*'Fane 12. Nøgletal'!C14</f>
        <v>35209.819056217704</v>
      </c>
      <c r="D11" s="8" t="s">
        <v>3</v>
      </c>
      <c r="E11" s="1"/>
    </row>
    <row r="12" spans="1:5" ht="15" customHeight="1" x14ac:dyDescent="0.25">
      <c r="A12" s="1"/>
      <c r="B12" s="48" t="s">
        <v>9</v>
      </c>
      <c r="C12" s="9">
        <f>-SUM(C8:C11)*'Fane 5. Individuelt eff. krav'!G10</f>
        <v>-98087.690663598725</v>
      </c>
      <c r="D12" s="8" t="s">
        <v>3</v>
      </c>
      <c r="E12" s="1"/>
    </row>
    <row r="13" spans="1:5" ht="15" customHeight="1" x14ac:dyDescent="0.25">
      <c r="A13" s="1"/>
      <c r="B13" s="48" t="s">
        <v>25</v>
      </c>
      <c r="C13" s="9">
        <f>-'Fane 4.1. Gen. krav - drift'!G50</f>
        <v>-120853.90986095216</v>
      </c>
      <c r="D13" s="8" t="s">
        <v>3</v>
      </c>
      <c r="E13" s="1"/>
    </row>
    <row r="14" spans="1:5" ht="15" customHeight="1" x14ac:dyDescent="0.25">
      <c r="A14" s="1"/>
      <c r="B14" s="48" t="s">
        <v>26</v>
      </c>
      <c r="C14" s="42">
        <f>-'Fane 4.2. Gen. krav - anlæg'!G54</f>
        <v>-85975.800658830325</v>
      </c>
      <c r="D14" s="8" t="s">
        <v>3</v>
      </c>
      <c r="E14" s="1"/>
    </row>
    <row r="15" spans="1:5" x14ac:dyDescent="0.25">
      <c r="A15" s="1"/>
      <c r="B15" s="53" t="s">
        <v>20</v>
      </c>
      <c r="C15" s="10">
        <f>SUM(C8:C14)</f>
        <v>10399934.556120628</v>
      </c>
      <c r="D15" s="11" t="s">
        <v>3</v>
      </c>
      <c r="E15" s="1"/>
    </row>
    <row r="16" spans="1:5" x14ac:dyDescent="0.25">
      <c r="A16" s="1"/>
      <c r="B16" s="56" t="s">
        <v>12</v>
      </c>
      <c r="C16" s="57"/>
      <c r="D16" s="20"/>
      <c r="E16" s="1"/>
    </row>
    <row r="17" spans="1:5" ht="15" customHeight="1" x14ac:dyDescent="0.25">
      <c r="A17" s="1"/>
      <c r="B17" s="49" t="s">
        <v>12</v>
      </c>
      <c r="C17" s="10">
        <f>'Fane 6. Ikke-påvirkelige omk.'!C15*(1+'Fane 12. Nøgletal'!C14)^2</f>
        <v>12226405.838598818</v>
      </c>
      <c r="D17" s="11" t="s">
        <v>3</v>
      </c>
      <c r="E17" s="1"/>
    </row>
    <row r="18" spans="1:5" ht="15" customHeight="1" x14ac:dyDescent="0.25">
      <c r="A18" s="1"/>
      <c r="B18" s="56" t="s">
        <v>89</v>
      </c>
      <c r="C18" s="57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5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6" t="s">
        <v>161</v>
      </c>
      <c r="C22" s="57"/>
      <c r="D22" s="20"/>
      <c r="E22" s="1"/>
    </row>
    <row r="23" spans="1:5" x14ac:dyDescent="0.25">
      <c r="A23" s="1"/>
      <c r="B23" s="49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7"/>
      <c r="D24" s="20"/>
      <c r="E24" s="1"/>
    </row>
    <row r="25" spans="1:5" ht="15" customHeight="1" x14ac:dyDescent="0.25">
      <c r="A25" s="1"/>
      <c r="B25" s="68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6" t="s">
        <v>186</v>
      </c>
      <c r="C26" s="12">
        <f>SUM(C15,C17,C21,C23,C25)</f>
        <v>22626340.394719444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m2MtiT1lH71VD7dbXK+Opm8W+kN7Zbcbz41+wBU6qCz0XhEEJkvKdcygAzyioX9gEXpT9Pnth6vnZJnt5nRYZA==" saltValue="RuLXxu5KWrkQyXLcI1j2i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187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21</v>
      </c>
      <c r="C5" s="88"/>
      <c r="D5" s="8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6" t="s">
        <v>13</v>
      </c>
      <c r="C7" s="57"/>
      <c r="D7" s="20"/>
      <c r="E7" s="1"/>
    </row>
    <row r="8" spans="1:5" ht="15" customHeight="1" x14ac:dyDescent="0.25">
      <c r="A8" s="1"/>
      <c r="B8" s="52" t="s">
        <v>188</v>
      </c>
      <c r="C8" s="7">
        <f>'Fane 2.3. Økonomisk ramme 2024'!C15</f>
        <v>10399934.556120628</v>
      </c>
      <c r="D8" s="8" t="s">
        <v>3</v>
      </c>
      <c r="E8" s="1"/>
    </row>
    <row r="9" spans="1:5" ht="15" customHeight="1" x14ac:dyDescent="0.25">
      <c r="A9" s="1"/>
      <c r="B9" s="52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2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8" t="s">
        <v>18</v>
      </c>
      <c r="C11" s="9">
        <f>SUM(C8:C10)*'Fane 12. Nøgletal'!C14</f>
        <v>34319.78403519807</v>
      </c>
      <c r="D11" s="8" t="s">
        <v>3</v>
      </c>
      <c r="E11" s="1"/>
    </row>
    <row r="12" spans="1:5" ht="15" customHeight="1" x14ac:dyDescent="0.25">
      <c r="A12" s="1"/>
      <c r="B12" s="48" t="s">
        <v>9</v>
      </c>
      <c r="C12" s="9">
        <f>-SUM(C8:C11)*'Fane 5. Individuelt eff. krav'!G10</f>
        <v>-95608.22663448361</v>
      </c>
      <c r="D12" s="8" t="s">
        <v>3</v>
      </c>
      <c r="E12" s="1"/>
    </row>
    <row r="13" spans="1:5" ht="15" customHeight="1" x14ac:dyDescent="0.25">
      <c r="A13" s="1"/>
      <c r="B13" s="48" t="s">
        <v>25</v>
      </c>
      <c r="C13" s="9">
        <f>-'Fane 4.1. Gen. krav - drift'!G56</f>
        <v>-118827.67320822345</v>
      </c>
      <c r="D13" s="8" t="s">
        <v>3</v>
      </c>
      <c r="E13" s="1"/>
    </row>
    <row r="14" spans="1:5" ht="15" customHeight="1" x14ac:dyDescent="0.25">
      <c r="A14" s="1"/>
      <c r="B14" s="48" t="s">
        <v>26</v>
      </c>
      <c r="C14" s="9">
        <f>-'Fane 4.2. Gen. krav - anlæg'!G60</f>
        <v>-84982.879893149599</v>
      </c>
      <c r="D14" s="8" t="s">
        <v>3</v>
      </c>
      <c r="E14" s="1"/>
    </row>
    <row r="15" spans="1:5" x14ac:dyDescent="0.25">
      <c r="A15" s="1"/>
      <c r="B15" s="53" t="s">
        <v>20</v>
      </c>
      <c r="C15" s="10">
        <f>SUM(C8:C14)</f>
        <v>10134835.560419969</v>
      </c>
      <c r="D15" s="11" t="s">
        <v>3</v>
      </c>
      <c r="E15" s="1"/>
    </row>
    <row r="16" spans="1:5" x14ac:dyDescent="0.25">
      <c r="A16" s="1"/>
      <c r="B16" s="56" t="s">
        <v>12</v>
      </c>
      <c r="C16" s="57"/>
      <c r="D16" s="20"/>
      <c r="E16" s="1"/>
    </row>
    <row r="17" spans="1:5" ht="15" customHeight="1" x14ac:dyDescent="0.25">
      <c r="A17" s="1"/>
      <c r="B17" s="49" t="s">
        <v>12</v>
      </c>
      <c r="C17" s="10">
        <f>'Fane 6. Ikke-påvirkelige omk.'!C15*(1+'Fane 12. Nøgletal'!C14)^3</f>
        <v>12266752.977866195</v>
      </c>
      <c r="D17" s="11" t="s">
        <v>3</v>
      </c>
      <c r="E17" s="1"/>
    </row>
    <row r="18" spans="1:5" ht="15" customHeight="1" x14ac:dyDescent="0.25">
      <c r="A18" s="1"/>
      <c r="B18" s="56" t="s">
        <v>89</v>
      </c>
      <c r="C18" s="57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5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6" t="s">
        <v>161</v>
      </c>
      <c r="C22" s="57"/>
      <c r="D22" s="20"/>
      <c r="E22" s="1"/>
    </row>
    <row r="23" spans="1:5" x14ac:dyDescent="0.25">
      <c r="A23" s="1"/>
      <c r="B23" s="49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7"/>
      <c r="D24" s="20"/>
      <c r="E24" s="1"/>
    </row>
    <row r="25" spans="1:5" x14ac:dyDescent="0.25">
      <c r="A25" s="1"/>
      <c r="B25" s="68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6" t="s">
        <v>189</v>
      </c>
      <c r="C26" s="12">
        <f>SUM(C15,C17,C21,C23,C25)</f>
        <v>22401588.538286164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rmd2SMI2YPecWBldqDxaZlRO8EE71m5pUnXP918RAPZLg644+9z/p/QfhjOiWVX8LTG2FMWNldb7Ix9X9fytGA==" saltValue="Zt/edO0UlOEoPRWzfxLd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5" t="s">
        <v>190</v>
      </c>
      <c r="C3" s="95"/>
      <c r="D3" s="95"/>
      <c r="E3" s="95"/>
      <c r="F3" s="95"/>
      <c r="G3" s="1"/>
    </row>
    <row r="4" spans="1:7" ht="29.25" customHeight="1" x14ac:dyDescent="0.25">
      <c r="A4" s="1"/>
      <c r="B4" s="95"/>
      <c r="C4" s="95"/>
      <c r="D4" s="95"/>
      <c r="E4" s="95"/>
      <c r="F4" s="9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6" t="s">
        <v>223</v>
      </c>
      <c r="C8" s="57"/>
      <c r="D8" s="57"/>
      <c r="E8" s="57"/>
      <c r="F8" s="20"/>
      <c r="G8" s="1"/>
    </row>
    <row r="9" spans="1:7" x14ac:dyDescent="0.25">
      <c r="A9" s="1"/>
      <c r="B9" s="96" t="s">
        <v>23</v>
      </c>
      <c r="C9" s="97"/>
      <c r="D9" s="98"/>
      <c r="E9" s="7">
        <v>9977436.7405978572</v>
      </c>
      <c r="F9" s="8" t="s">
        <v>3</v>
      </c>
      <c r="G9" s="1"/>
    </row>
    <row r="10" spans="1:7" ht="15" customHeight="1" x14ac:dyDescent="0.25">
      <c r="A10" s="1"/>
      <c r="B10" s="89" t="s">
        <v>40</v>
      </c>
      <c r="C10" s="90"/>
      <c r="D10" s="91"/>
      <c r="E10" s="9">
        <v>4745.1935999999996</v>
      </c>
      <c r="F10" s="8" t="s">
        <v>3</v>
      </c>
      <c r="G10" s="1"/>
    </row>
    <row r="11" spans="1:7" ht="15" customHeight="1" x14ac:dyDescent="0.25">
      <c r="A11" s="1"/>
      <c r="B11" s="89" t="s">
        <v>41</v>
      </c>
      <c r="C11" s="90"/>
      <c r="D11" s="91"/>
      <c r="E11" s="9">
        <v>1846.2528</v>
      </c>
      <c r="F11" s="8" t="s">
        <v>3</v>
      </c>
      <c r="G11" s="1"/>
    </row>
    <row r="12" spans="1:7" x14ac:dyDescent="0.25">
      <c r="A12" s="1"/>
      <c r="B12" s="89" t="s">
        <v>28</v>
      </c>
      <c r="C12" s="90"/>
      <c r="D12" s="91"/>
      <c r="E12" s="9">
        <v>0</v>
      </c>
      <c r="F12" s="8" t="s">
        <v>3</v>
      </c>
      <c r="G12" s="1"/>
    </row>
    <row r="13" spans="1:7" x14ac:dyDescent="0.25">
      <c r="A13" s="1"/>
      <c r="B13" s="89" t="s">
        <v>27</v>
      </c>
      <c r="C13" s="90"/>
      <c r="D13" s="91"/>
      <c r="E13" s="9">
        <v>0</v>
      </c>
      <c r="F13" s="8" t="s">
        <v>3</v>
      </c>
      <c r="G13" s="1"/>
    </row>
    <row r="14" spans="1:7" x14ac:dyDescent="0.25">
      <c r="A14" s="1"/>
      <c r="B14" s="89" t="s">
        <v>132</v>
      </c>
      <c r="C14" s="90"/>
      <c r="D14" s="91"/>
      <c r="E14" s="9">
        <v>0</v>
      </c>
      <c r="F14" s="8" t="s">
        <v>3</v>
      </c>
      <c r="G14" s="1"/>
    </row>
    <row r="15" spans="1:7" x14ac:dyDescent="0.25">
      <c r="A15" s="1"/>
      <c r="B15" s="89" t="s">
        <v>133</v>
      </c>
      <c r="C15" s="90"/>
      <c r="D15" s="91"/>
      <c r="E15" s="9">
        <v>0</v>
      </c>
      <c r="F15" s="8" t="s">
        <v>3</v>
      </c>
      <c r="G15" s="1"/>
    </row>
    <row r="16" spans="1:7" x14ac:dyDescent="0.25">
      <c r="A16" s="1"/>
      <c r="B16" s="89" t="s">
        <v>18</v>
      </c>
      <c r="C16" s="90"/>
      <c r="D16" s="91"/>
      <c r="E16" s="9">
        <v>121805.14388137388</v>
      </c>
      <c r="F16" s="8" t="s">
        <v>3</v>
      </c>
      <c r="G16" s="1"/>
    </row>
    <row r="17" spans="1:7" x14ac:dyDescent="0.25">
      <c r="A17" s="1"/>
      <c r="B17" s="89" t="s">
        <v>9</v>
      </c>
      <c r="C17" s="90"/>
      <c r="D17" s="91"/>
      <c r="E17" s="9">
        <v>-92598.931550923895</v>
      </c>
      <c r="F17" s="8" t="s">
        <v>3</v>
      </c>
      <c r="G17" s="1"/>
    </row>
    <row r="18" spans="1:7" x14ac:dyDescent="0.25">
      <c r="A18" s="1"/>
      <c r="B18" s="89" t="s">
        <v>25</v>
      </c>
      <c r="C18" s="90"/>
      <c r="D18" s="91"/>
      <c r="E18" s="9">
        <f>-'Fane 4.1. Gen. krav - drift'!G31</f>
        <v>-123539.73294714121</v>
      </c>
      <c r="F18" s="8" t="s">
        <v>3</v>
      </c>
      <c r="G18" s="1"/>
    </row>
    <row r="19" spans="1:7" x14ac:dyDescent="0.25">
      <c r="A19" s="1"/>
      <c r="B19" s="89" t="s">
        <v>26</v>
      </c>
      <c r="C19" s="90"/>
      <c r="D19" s="91"/>
      <c r="E19" s="9">
        <f>-'Fane 4.2. Gen. krav - anlæg'!G31</f>
        <v>-130912.22239174262</v>
      </c>
      <c r="F19" s="8" t="s">
        <v>3</v>
      </c>
      <c r="G19" s="1"/>
    </row>
    <row r="20" spans="1:7" x14ac:dyDescent="0.25">
      <c r="A20" s="1"/>
      <c r="B20" s="102" t="s">
        <v>20</v>
      </c>
      <c r="C20" s="103"/>
      <c r="D20" s="104"/>
      <c r="E20" s="10">
        <f>SUM(E9:E19)</f>
        <v>9758782.443989424</v>
      </c>
      <c r="F20" s="11" t="s">
        <v>3</v>
      </c>
      <c r="G20" s="1"/>
    </row>
    <row r="21" spans="1:7" x14ac:dyDescent="0.25">
      <c r="A21" s="1"/>
      <c r="B21" s="56" t="s">
        <v>12</v>
      </c>
      <c r="C21" s="57"/>
      <c r="D21" s="57"/>
      <c r="E21" s="57"/>
      <c r="F21" s="20"/>
      <c r="G21" s="1"/>
    </row>
    <row r="22" spans="1:7" x14ac:dyDescent="0.25">
      <c r="A22" s="1"/>
      <c r="B22" s="92" t="s">
        <v>12</v>
      </c>
      <c r="C22" s="93"/>
      <c r="D22" s="94"/>
      <c r="E22" s="10">
        <v>13047872.295475081</v>
      </c>
      <c r="F22" s="11" t="s">
        <v>3</v>
      </c>
      <c r="G22" s="1"/>
    </row>
    <row r="23" spans="1:7" ht="15" customHeight="1" x14ac:dyDescent="0.25">
      <c r="A23" s="1"/>
      <c r="B23" s="108" t="s">
        <v>89</v>
      </c>
      <c r="C23" s="109"/>
      <c r="D23" s="109"/>
      <c r="E23" s="57"/>
      <c r="F23" s="57"/>
      <c r="G23" s="1"/>
    </row>
    <row r="24" spans="1:7" ht="14.25" customHeight="1" x14ac:dyDescent="0.25">
      <c r="A24" s="1"/>
      <c r="B24" s="99" t="s">
        <v>85</v>
      </c>
      <c r="C24" s="100"/>
      <c r="D24" s="101"/>
      <c r="E24" s="9">
        <v>0</v>
      </c>
      <c r="F24" s="8" t="s">
        <v>3</v>
      </c>
      <c r="G24" s="1"/>
    </row>
    <row r="25" spans="1:7" ht="14.25" customHeight="1" x14ac:dyDescent="0.25">
      <c r="A25" s="1"/>
      <c r="B25" s="99" t="s">
        <v>86</v>
      </c>
      <c r="C25" s="100"/>
      <c r="D25" s="101"/>
      <c r="E25" s="9">
        <v>0</v>
      </c>
      <c r="F25" s="8" t="s">
        <v>3</v>
      </c>
      <c r="G25" s="1"/>
    </row>
    <row r="26" spans="1:7" x14ac:dyDescent="0.25">
      <c r="A26" s="1"/>
      <c r="B26" s="105" t="s">
        <v>90</v>
      </c>
      <c r="C26" s="106"/>
      <c r="D26" s="106"/>
      <c r="E26" s="10">
        <v>0</v>
      </c>
      <c r="F26" s="11" t="s">
        <v>3</v>
      </c>
      <c r="G26" s="1"/>
    </row>
    <row r="27" spans="1:7" x14ac:dyDescent="0.25">
      <c r="A27" s="1"/>
      <c r="B27" s="56" t="s">
        <v>161</v>
      </c>
      <c r="C27" s="57"/>
      <c r="D27" s="57"/>
      <c r="E27" s="57"/>
      <c r="F27" s="20"/>
      <c r="G27" s="1"/>
    </row>
    <row r="28" spans="1:7" ht="15" customHeight="1" x14ac:dyDescent="0.25">
      <c r="A28" s="1"/>
      <c r="B28" s="105" t="s">
        <v>162</v>
      </c>
      <c r="C28" s="106"/>
      <c r="D28" s="107"/>
      <c r="E28" s="10">
        <v>-43488.995422769338</v>
      </c>
      <c r="F28" s="11" t="s">
        <v>3</v>
      </c>
      <c r="G28" s="1"/>
    </row>
    <row r="29" spans="1:7" x14ac:dyDescent="0.25">
      <c r="A29" s="1"/>
      <c r="B29" s="56" t="s">
        <v>248</v>
      </c>
      <c r="C29" s="57"/>
      <c r="D29" s="57"/>
      <c r="E29" s="57"/>
      <c r="F29" s="20"/>
      <c r="G29" s="1"/>
    </row>
    <row r="30" spans="1:7" ht="15.6" customHeight="1" x14ac:dyDescent="0.25">
      <c r="A30" s="1"/>
      <c r="B30" s="92" t="s">
        <v>249</v>
      </c>
      <c r="C30" s="93"/>
      <c r="D30" s="94"/>
      <c r="E30" s="10">
        <v>0</v>
      </c>
      <c r="F30" s="11" t="s">
        <v>3</v>
      </c>
      <c r="G30" s="1"/>
    </row>
    <row r="31" spans="1:7" x14ac:dyDescent="0.25">
      <c r="A31" s="1"/>
      <c r="B31" s="56" t="s">
        <v>29</v>
      </c>
      <c r="C31" s="57"/>
      <c r="D31" s="57"/>
      <c r="E31" s="12">
        <f>E20+E22+E26+E28+E30</f>
        <v>22763165.744041737</v>
      </c>
      <c r="F31" s="13" t="s">
        <v>3</v>
      </c>
      <c r="G31" s="1"/>
    </row>
    <row r="32" spans="1:7" ht="27.75" customHeight="1" x14ac:dyDescent="0.25">
      <c r="A32" s="1"/>
      <c r="B32" s="99" t="s">
        <v>191</v>
      </c>
      <c r="C32" s="100"/>
      <c r="D32" s="100"/>
      <c r="E32" s="100"/>
      <c r="F32" s="10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8oyRms0P17kJB+HdIkvgpFlMncODtr2QxVf3YgDX8fSu8KECBM+JlkIunLfqQIHKXvskQS+HBG+OiZ9+3yx+zg==" saltValue="e1OwycUg9A+FNOf0LxtPeQ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5" t="s">
        <v>115</v>
      </c>
      <c r="C1" s="95"/>
      <c r="D1" s="95"/>
      <c r="E1" s="95"/>
      <c r="F1" s="95"/>
      <c r="G1" s="95"/>
      <c r="H1" s="95"/>
      <c r="I1" s="1"/>
    </row>
    <row r="2" spans="1:9" ht="15" customHeight="1" x14ac:dyDescent="0.25">
      <c r="A2" s="1"/>
      <c r="B2" s="95"/>
      <c r="C2" s="95"/>
      <c r="D2" s="95"/>
      <c r="E2" s="95"/>
      <c r="F2" s="95"/>
      <c r="G2" s="95"/>
      <c r="H2" s="95"/>
      <c r="I2" s="1"/>
    </row>
    <row r="3" spans="1:9" ht="15" customHeight="1" x14ac:dyDescent="0.25">
      <c r="A3" s="1"/>
      <c r="B3" s="95"/>
      <c r="C3" s="95"/>
      <c r="D3" s="95"/>
      <c r="E3" s="95"/>
      <c r="F3" s="95"/>
      <c r="G3" s="95"/>
      <c r="H3" s="95"/>
      <c r="I3" s="1"/>
    </row>
    <row r="4" spans="1:9" x14ac:dyDescent="0.25">
      <c r="A4" s="1"/>
      <c r="B4" s="110" t="s">
        <v>54</v>
      </c>
      <c r="C4" s="111"/>
      <c r="D4" s="111"/>
      <c r="E4" s="111"/>
      <c r="F4" s="111"/>
      <c r="G4" s="111"/>
      <c r="H4" s="112"/>
      <c r="I4" s="1"/>
    </row>
    <row r="5" spans="1:9" x14ac:dyDescent="0.25">
      <c r="A5" s="1"/>
      <c r="B5" s="113" t="s">
        <v>43</v>
      </c>
      <c r="C5" s="114"/>
      <c r="D5" s="114"/>
      <c r="E5" s="114"/>
      <c r="F5" s="115"/>
      <c r="G5" s="24">
        <v>6266874.0174501445</v>
      </c>
      <c r="H5" s="14" t="s">
        <v>3</v>
      </c>
      <c r="I5" s="1"/>
    </row>
    <row r="6" spans="1:9" x14ac:dyDescent="0.25">
      <c r="A6" s="1"/>
      <c r="B6" s="113" t="s">
        <v>44</v>
      </c>
      <c r="C6" s="114"/>
      <c r="D6" s="114"/>
      <c r="E6" s="114"/>
      <c r="F6" s="115"/>
      <c r="G6" s="24">
        <f>G5*'Fane 12. Nøgletal'!C29</f>
        <v>125337.48034900289</v>
      </c>
      <c r="H6" s="14" t="s">
        <v>3</v>
      </c>
      <c r="I6" s="1"/>
    </row>
    <row r="7" spans="1:9" x14ac:dyDescent="0.25">
      <c r="A7" s="1"/>
      <c r="B7" s="56"/>
      <c r="C7" s="57"/>
      <c r="D7" s="57"/>
      <c r="E7" s="57"/>
      <c r="F7" s="57"/>
      <c r="G7" s="57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0" t="s">
        <v>55</v>
      </c>
      <c r="C9" s="111"/>
      <c r="D9" s="111"/>
      <c r="E9" s="111"/>
      <c r="F9" s="111"/>
      <c r="G9" s="111"/>
      <c r="H9" s="112"/>
      <c r="I9" s="1"/>
    </row>
    <row r="10" spans="1:9" x14ac:dyDescent="0.25">
      <c r="A10" s="1"/>
      <c r="B10" s="113" t="s">
        <v>45</v>
      </c>
      <c r="C10" s="114"/>
      <c r="D10" s="114"/>
      <c r="E10" s="114"/>
      <c r="F10" s="115"/>
      <c r="G10" s="24">
        <f>(G5-G6)*(1+'Fane 12. Nøgletal'!C9)</f>
        <v>6219534.0511223255</v>
      </c>
      <c r="H10" s="14" t="s">
        <v>3</v>
      </c>
      <c r="I10" s="1"/>
    </row>
    <row r="11" spans="1:9" x14ac:dyDescent="0.25">
      <c r="A11" s="1"/>
      <c r="B11" s="116" t="s">
        <v>46</v>
      </c>
      <c r="C11" s="117"/>
      <c r="D11" s="117"/>
      <c r="E11" s="117"/>
      <c r="F11" s="118"/>
      <c r="G11" s="9">
        <v>0</v>
      </c>
      <c r="H11" s="14" t="s">
        <v>3</v>
      </c>
      <c r="I11" s="1"/>
    </row>
    <row r="12" spans="1:9" x14ac:dyDescent="0.25">
      <c r="A12" s="1"/>
      <c r="B12" s="113" t="s">
        <v>47</v>
      </c>
      <c r="C12" s="114"/>
      <c r="D12" s="114"/>
      <c r="E12" s="114"/>
      <c r="F12" s="115"/>
      <c r="G12" s="24">
        <f>(G10+G11)*'Fane 12. Nøgletal'!C29</f>
        <v>124390.68102244652</v>
      </c>
      <c r="H12" s="14" t="s">
        <v>3</v>
      </c>
      <c r="I12" s="1"/>
    </row>
    <row r="13" spans="1:9" x14ac:dyDescent="0.25">
      <c r="A13" s="1"/>
      <c r="B13" s="56"/>
      <c r="C13" s="57"/>
      <c r="D13" s="57"/>
      <c r="E13" s="57"/>
      <c r="F13" s="57"/>
      <c r="G13" s="57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0" t="s">
        <v>56</v>
      </c>
      <c r="C15" s="111"/>
      <c r="D15" s="111"/>
      <c r="E15" s="111"/>
      <c r="F15" s="111"/>
      <c r="G15" s="111"/>
      <c r="H15" s="112"/>
      <c r="I15" s="1"/>
    </row>
    <row r="16" spans="1:9" x14ac:dyDescent="0.25">
      <c r="A16" s="1"/>
      <c r="B16" s="113" t="s">
        <v>48</v>
      </c>
      <c r="C16" s="114"/>
      <c r="D16" s="114"/>
      <c r="E16" s="114"/>
      <c r="F16" s="115"/>
      <c r="G16" s="24">
        <f>(G10+G11-G12)*(1+'Fane 12. Nøgletal'!C11)</f>
        <v>6198151.2930545667</v>
      </c>
      <c r="H16" s="14" t="s">
        <v>3</v>
      </c>
      <c r="I16" s="1"/>
    </row>
    <row r="17" spans="1:9" x14ac:dyDescent="0.25">
      <c r="A17" s="1"/>
      <c r="B17" s="113" t="s">
        <v>125</v>
      </c>
      <c r="C17" s="114"/>
      <c r="D17" s="114"/>
      <c r="E17" s="114"/>
      <c r="F17" s="115"/>
      <c r="G17" s="9">
        <v>0</v>
      </c>
      <c r="H17" s="14" t="s">
        <v>3</v>
      </c>
      <c r="I17" s="1"/>
    </row>
    <row r="18" spans="1:9" x14ac:dyDescent="0.25">
      <c r="A18" s="1"/>
      <c r="B18" s="116" t="s">
        <v>49</v>
      </c>
      <c r="C18" s="117"/>
      <c r="D18" s="117"/>
      <c r="E18" s="117"/>
      <c r="F18" s="118"/>
      <c r="G18" s="9">
        <v>0</v>
      </c>
      <c r="H18" s="14" t="s">
        <v>3</v>
      </c>
      <c r="I18" s="1"/>
    </row>
    <row r="19" spans="1:9" x14ac:dyDescent="0.25">
      <c r="A19" s="1"/>
      <c r="B19" s="113" t="s">
        <v>50</v>
      </c>
      <c r="C19" s="114"/>
      <c r="D19" s="114"/>
      <c r="E19" s="114"/>
      <c r="F19" s="115"/>
      <c r="G19" s="24">
        <f>SUM(G16:G18)*'Fane 12. Nøgletal'!C29</f>
        <v>123963.02586109133</v>
      </c>
      <c r="H19" s="14" t="s">
        <v>3</v>
      </c>
      <c r="I19" s="1"/>
    </row>
    <row r="20" spans="1:9" x14ac:dyDescent="0.25">
      <c r="A20" s="1"/>
      <c r="B20" s="56"/>
      <c r="C20" s="57"/>
      <c r="D20" s="57"/>
      <c r="E20" s="57"/>
      <c r="F20" s="57"/>
      <c r="G20" s="57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0" t="s">
        <v>57</v>
      </c>
      <c r="C22" s="111"/>
      <c r="D22" s="111"/>
      <c r="E22" s="111"/>
      <c r="F22" s="111"/>
      <c r="G22" s="111"/>
      <c r="H22" s="112"/>
      <c r="I22" s="1"/>
    </row>
    <row r="23" spans="1:9" x14ac:dyDescent="0.25">
      <c r="A23" s="1"/>
      <c r="B23" s="113" t="s">
        <v>51</v>
      </c>
      <c r="C23" s="114"/>
      <c r="D23" s="114"/>
      <c r="E23" s="114"/>
      <c r="F23" s="115"/>
      <c r="G23" s="24">
        <f>(SUM(G16:G18)-G19)*(1+'Fane 12. Nøgletal'!C11)</f>
        <v>6176842.0489090448</v>
      </c>
      <c r="H23" s="14" t="s">
        <v>3</v>
      </c>
      <c r="I23" s="1"/>
    </row>
    <row r="24" spans="1:9" x14ac:dyDescent="0.25">
      <c r="A24" s="1"/>
      <c r="B24" s="116" t="s">
        <v>52</v>
      </c>
      <c r="C24" s="117"/>
      <c r="D24" s="117"/>
      <c r="E24" s="117"/>
      <c r="F24" s="118"/>
      <c r="G24" s="24">
        <v>45393.173616088301</v>
      </c>
      <c r="H24" s="14" t="s">
        <v>3</v>
      </c>
      <c r="I24" s="1"/>
    </row>
    <row r="25" spans="1:9" x14ac:dyDescent="0.25">
      <c r="A25" s="1"/>
      <c r="B25" s="113" t="s">
        <v>53</v>
      </c>
      <c r="C25" s="114"/>
      <c r="D25" s="114"/>
      <c r="E25" s="114"/>
      <c r="F25" s="115"/>
      <c r="G25" s="24">
        <f>(G23+G24)*'Fane 12. Nøgletal'!C29</f>
        <v>124444.70445050266</v>
      </c>
      <c r="H25" s="14" t="s">
        <v>3</v>
      </c>
      <c r="I25" s="1"/>
    </row>
    <row r="26" spans="1:9" x14ac:dyDescent="0.25">
      <c r="A26" s="1"/>
      <c r="B26" s="56"/>
      <c r="C26" s="57"/>
      <c r="D26" s="57"/>
      <c r="E26" s="57"/>
      <c r="F26" s="57"/>
      <c r="G26" s="57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0" t="s">
        <v>175</v>
      </c>
      <c r="C28" s="111"/>
      <c r="D28" s="111"/>
      <c r="E28" s="111"/>
      <c r="F28" s="111"/>
      <c r="G28" s="111"/>
      <c r="H28" s="112"/>
      <c r="I28" s="1"/>
    </row>
    <row r="29" spans="1:9" x14ac:dyDescent="0.25">
      <c r="A29" s="1"/>
      <c r="B29" s="113" t="s">
        <v>60</v>
      </c>
      <c r="C29" s="114"/>
      <c r="D29" s="114"/>
      <c r="E29" s="114"/>
      <c r="F29" s="115"/>
      <c r="G29" s="24">
        <f>(G23+G24-G25)*(1+'Fane 12. Nøgletal'!C13)</f>
        <v>6172183.5623951405</v>
      </c>
      <c r="H29" s="14" t="s">
        <v>3</v>
      </c>
      <c r="I29" s="1"/>
    </row>
    <row r="30" spans="1:9" x14ac:dyDescent="0.25">
      <c r="A30" s="1"/>
      <c r="B30" s="113" t="s">
        <v>147</v>
      </c>
      <c r="C30" s="114"/>
      <c r="D30" s="114"/>
      <c r="E30" s="114"/>
      <c r="F30" s="115"/>
      <c r="G30" s="24">
        <f>SUM('Fane 3. Omkostninger i ØR2021'!E10,'Fane 3. Omkostninger i ØR2021'!E12,'Fane 3. Omkostninger i ØR2021'!E14)*(1+'Fane 12. Nøgletal'!C13)</f>
        <v>4803.0849619199998</v>
      </c>
      <c r="H30" s="14" t="s">
        <v>3</v>
      </c>
      <c r="I30" s="1"/>
    </row>
    <row r="31" spans="1:9" x14ac:dyDescent="0.25">
      <c r="A31" s="1"/>
      <c r="B31" s="113" t="s">
        <v>159</v>
      </c>
      <c r="C31" s="114"/>
      <c r="D31" s="114"/>
      <c r="E31" s="114"/>
      <c r="F31" s="115"/>
      <c r="G31" s="24">
        <f>(G29+G30)*'Fane 12. Nøgletal'!C29</f>
        <v>123539.73294714121</v>
      </c>
      <c r="H31" s="14" t="s">
        <v>3</v>
      </c>
      <c r="I31" s="1"/>
    </row>
    <row r="32" spans="1:9" x14ac:dyDescent="0.25">
      <c r="A32" s="1"/>
      <c r="B32" s="56"/>
      <c r="C32" s="57"/>
      <c r="D32" s="57"/>
      <c r="E32" s="57"/>
      <c r="F32" s="57"/>
      <c r="G32" s="57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0" t="s">
        <v>176</v>
      </c>
      <c r="C34" s="111"/>
      <c r="D34" s="111"/>
      <c r="E34" s="111"/>
      <c r="F34" s="111"/>
      <c r="G34" s="111"/>
      <c r="H34" s="112"/>
      <c r="I34" s="1"/>
    </row>
    <row r="35" spans="1:9" x14ac:dyDescent="0.25">
      <c r="A35" s="1"/>
      <c r="B35" s="113" t="s">
        <v>80</v>
      </c>
      <c r="C35" s="114"/>
      <c r="D35" s="114"/>
      <c r="E35" s="114"/>
      <c r="F35" s="115"/>
      <c r="G35" s="24">
        <f>(G29+G30-G31)*(1+'Fane 12. Nøgletal'!C13)</f>
        <v>6127298.9667657204</v>
      </c>
      <c r="H35" s="14" t="s">
        <v>3</v>
      </c>
      <c r="I35" s="1"/>
    </row>
    <row r="36" spans="1:9" x14ac:dyDescent="0.25">
      <c r="A36" s="1"/>
      <c r="B36" s="37" t="s">
        <v>192</v>
      </c>
      <c r="C36" s="62"/>
      <c r="D36" s="62"/>
      <c r="E36" s="62"/>
      <c r="F36" s="63"/>
      <c r="G36" s="24">
        <f>SUM('Fane 2.1. Økonomisk ramme 2022'!C10)*(1+'Fane 12. Nøgletal'!C14)</f>
        <v>4678.4009274011487</v>
      </c>
      <c r="H36" s="14" t="s">
        <v>3</v>
      </c>
      <c r="I36" s="1"/>
    </row>
    <row r="37" spans="1:9" x14ac:dyDescent="0.25">
      <c r="A37" s="1"/>
      <c r="B37" s="113" t="s">
        <v>221</v>
      </c>
      <c r="C37" s="114"/>
      <c r="D37" s="114"/>
      <c r="E37" s="114"/>
      <c r="F37" s="115"/>
      <c r="G37" s="24">
        <f>SUM('Fane 2.1. Økonomisk ramme 2022'!C12,'Fane 2.1. Økonomisk ramme 2022'!C14,'Fane 2.1. Økonomisk ramme 2022'!C16)*(1+'Fane 12. Nøgletal'!C14)</f>
        <v>123232.32498647002</v>
      </c>
      <c r="H37" s="14" t="s">
        <v>3</v>
      </c>
      <c r="I37" s="1"/>
    </row>
    <row r="38" spans="1:9" x14ac:dyDescent="0.25">
      <c r="A38" s="1"/>
      <c r="B38" s="113" t="s">
        <v>177</v>
      </c>
      <c r="C38" s="114"/>
      <c r="D38" s="114"/>
      <c r="E38" s="114"/>
      <c r="F38" s="115"/>
      <c r="G38" s="24">
        <f>(G35+G37)*'Fane 12. Nøgletal'!C29</f>
        <v>125010.62583504381</v>
      </c>
      <c r="H38" s="14" t="s">
        <v>3</v>
      </c>
      <c r="I38" s="1"/>
    </row>
    <row r="39" spans="1:9" x14ac:dyDescent="0.25">
      <c r="A39" s="1"/>
      <c r="B39" s="56"/>
      <c r="C39" s="57"/>
      <c r="D39" s="57"/>
      <c r="E39" s="57"/>
      <c r="F39" s="57"/>
      <c r="G39" s="57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0" t="s">
        <v>81</v>
      </c>
      <c r="C41" s="111"/>
      <c r="D41" s="111"/>
      <c r="E41" s="111"/>
      <c r="F41" s="111"/>
      <c r="G41" s="111"/>
      <c r="H41" s="112"/>
      <c r="I41" s="1"/>
    </row>
    <row r="42" spans="1:9" x14ac:dyDescent="0.25">
      <c r="A42" s="1"/>
      <c r="B42" s="113" t="s">
        <v>79</v>
      </c>
      <c r="C42" s="114"/>
      <c r="D42" s="114"/>
      <c r="E42" s="114"/>
      <c r="F42" s="115"/>
      <c r="G42" s="24">
        <f>(G35+G37-G38)*(1+'Fane 12. Nøgletal'!C14)</f>
        <v>6145734.8841146743</v>
      </c>
      <c r="H42" s="14" t="s">
        <v>3</v>
      </c>
      <c r="I42" s="1"/>
    </row>
    <row r="43" spans="1:9" x14ac:dyDescent="0.25">
      <c r="A43" s="1"/>
      <c r="B43" s="113" t="s">
        <v>92</v>
      </c>
      <c r="C43" s="114"/>
      <c r="D43" s="114"/>
      <c r="E43" s="114"/>
      <c r="F43" s="115"/>
      <c r="G43" s="9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3" t="s">
        <v>61</v>
      </c>
      <c r="C44" s="114"/>
      <c r="D44" s="114"/>
      <c r="E44" s="114"/>
      <c r="F44" s="115"/>
      <c r="G44" s="24">
        <f>(G42+G43)*'Fane 12. Nøgletal'!C29</f>
        <v>122914.69768229348</v>
      </c>
      <c r="H44" s="14" t="s">
        <v>3</v>
      </c>
      <c r="I44" s="1"/>
    </row>
    <row r="45" spans="1:9" x14ac:dyDescent="0.25">
      <c r="A45" s="1"/>
      <c r="B45" s="56"/>
      <c r="C45" s="57"/>
      <c r="D45" s="57"/>
      <c r="E45" s="57"/>
      <c r="F45" s="57"/>
      <c r="G45" s="57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0" t="s">
        <v>148</v>
      </c>
      <c r="C47" s="111"/>
      <c r="D47" s="111"/>
      <c r="E47" s="111"/>
      <c r="F47" s="111"/>
      <c r="G47" s="111"/>
      <c r="H47" s="112"/>
      <c r="I47" s="1"/>
    </row>
    <row r="48" spans="1:9" x14ac:dyDescent="0.25">
      <c r="A48" s="1"/>
      <c r="B48" s="113" t="s">
        <v>149</v>
      </c>
      <c r="C48" s="114"/>
      <c r="D48" s="114"/>
      <c r="E48" s="114"/>
      <c r="F48" s="115"/>
      <c r="G48" s="24">
        <f>(G42+G43-G44)*(1+'Fane 12. Nøgletal'!C14)</f>
        <v>6042695.4930476081</v>
      </c>
      <c r="H48" s="14" t="s">
        <v>3</v>
      </c>
      <c r="I48" s="1"/>
    </row>
    <row r="49" spans="1:9" x14ac:dyDescent="0.25">
      <c r="A49" s="1"/>
      <c r="B49" s="113" t="s">
        <v>150</v>
      </c>
      <c r="C49" s="114"/>
      <c r="D49" s="114"/>
      <c r="E49" s="114"/>
      <c r="F49" s="115"/>
      <c r="G49" s="9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3" t="s">
        <v>151</v>
      </c>
      <c r="C50" s="114"/>
      <c r="D50" s="114"/>
      <c r="E50" s="114"/>
      <c r="F50" s="115"/>
      <c r="G50" s="24">
        <f>(G48+G49)*'Fane 12. Nøgletal'!C29</f>
        <v>120853.90986095216</v>
      </c>
      <c r="H50" s="14" t="s">
        <v>3</v>
      </c>
      <c r="I50" s="1"/>
    </row>
    <row r="51" spans="1:9" x14ac:dyDescent="0.25">
      <c r="A51" s="1"/>
      <c r="B51" s="56"/>
      <c r="C51" s="57"/>
      <c r="D51" s="57"/>
      <c r="E51" s="57"/>
      <c r="F51" s="57"/>
      <c r="G51" s="57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0" t="s">
        <v>198</v>
      </c>
      <c r="C53" s="111"/>
      <c r="D53" s="111"/>
      <c r="E53" s="111"/>
      <c r="F53" s="111"/>
      <c r="G53" s="111"/>
      <c r="H53" s="112"/>
      <c r="I53" s="1"/>
    </row>
    <row r="54" spans="1:9" x14ac:dyDescent="0.25">
      <c r="A54" s="1"/>
      <c r="B54" s="113" t="s">
        <v>199</v>
      </c>
      <c r="C54" s="114"/>
      <c r="D54" s="114"/>
      <c r="E54" s="114"/>
      <c r="F54" s="115"/>
      <c r="G54" s="24">
        <f>(G48+G49-G50)*(1+'Fane 12. Nøgletal'!C14)</f>
        <v>5941383.6604111725</v>
      </c>
      <c r="H54" s="14" t="s">
        <v>3</v>
      </c>
      <c r="I54" s="1"/>
    </row>
    <row r="55" spans="1:9" x14ac:dyDescent="0.25">
      <c r="A55" s="1"/>
      <c r="B55" s="113" t="s">
        <v>200</v>
      </c>
      <c r="C55" s="114"/>
      <c r="D55" s="114"/>
      <c r="E55" s="114"/>
      <c r="F55" s="115"/>
      <c r="G55" s="9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3" t="s">
        <v>201</v>
      </c>
      <c r="C56" s="114"/>
      <c r="D56" s="114"/>
      <c r="E56" s="114"/>
      <c r="F56" s="115"/>
      <c r="G56" s="24">
        <f>(G54+G55)*'Fane 12. Nøgletal'!C29</f>
        <v>118827.67320822345</v>
      </c>
      <c r="H56" s="14" t="s">
        <v>3</v>
      </c>
      <c r="I56" s="1"/>
    </row>
    <row r="57" spans="1:9" x14ac:dyDescent="0.25">
      <c r="A57" s="1"/>
      <c r="B57" s="56"/>
      <c r="C57" s="57"/>
      <c r="D57" s="57"/>
      <c r="E57" s="57"/>
      <c r="F57" s="57"/>
      <c r="G57" s="57"/>
      <c r="H57" s="20"/>
      <c r="I57" s="1"/>
    </row>
  </sheetData>
  <sheetProtection algorithmName="SHA-512" hashValue="dALJB20I3OM3YXGrfw6XJ+9WLzlbd2dHjgiQYORNPnCHueVnNkJAwRQOCjkqEE33Ljl3E7olqZHM3y+XDFuS6A==" saltValue="kpdUetnIBJTAL7YK9tUNWg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61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19" t="s">
        <v>116</v>
      </c>
      <c r="C1" s="120"/>
      <c r="D1" s="120"/>
      <c r="E1" s="120"/>
      <c r="F1" s="120"/>
      <c r="G1" s="120"/>
      <c r="H1" s="120"/>
      <c r="I1" s="1"/>
    </row>
    <row r="2" spans="1:9" ht="19.899999999999999" customHeight="1" x14ac:dyDescent="0.25">
      <c r="A2" s="1"/>
      <c r="B2" s="120"/>
      <c r="C2" s="120"/>
      <c r="D2" s="120"/>
      <c r="E2" s="120"/>
      <c r="F2" s="120"/>
      <c r="G2" s="120"/>
      <c r="H2" s="120"/>
      <c r="I2" s="1"/>
    </row>
    <row r="3" spans="1:9" ht="15" customHeight="1" x14ac:dyDescent="0.25">
      <c r="A3" s="1"/>
      <c r="B3" s="121"/>
      <c r="C3" s="121"/>
      <c r="D3" s="121"/>
      <c r="E3" s="121"/>
      <c r="F3" s="121"/>
      <c r="G3" s="121"/>
      <c r="H3" s="121"/>
      <c r="I3" s="1"/>
    </row>
    <row r="4" spans="1:9" x14ac:dyDescent="0.25">
      <c r="A4" s="1"/>
      <c r="B4" s="110" t="s">
        <v>58</v>
      </c>
      <c r="C4" s="111"/>
      <c r="D4" s="111"/>
      <c r="E4" s="111"/>
      <c r="F4" s="111"/>
      <c r="G4" s="111"/>
      <c r="H4" s="112"/>
      <c r="I4" s="1"/>
    </row>
    <row r="5" spans="1:9" x14ac:dyDescent="0.25">
      <c r="A5" s="1"/>
      <c r="B5" s="113" t="s">
        <v>62</v>
      </c>
      <c r="C5" s="114"/>
      <c r="D5" s="114"/>
      <c r="E5" s="114"/>
      <c r="F5" s="115"/>
      <c r="G5" s="24">
        <v>4604939.6396521218</v>
      </c>
      <c r="H5" s="14" t="s">
        <v>3</v>
      </c>
      <c r="I5" s="1"/>
    </row>
    <row r="6" spans="1:9" x14ac:dyDescent="0.25">
      <c r="A6" s="1"/>
      <c r="B6" s="113" t="s">
        <v>59</v>
      </c>
      <c r="C6" s="114"/>
      <c r="D6" s="114"/>
      <c r="E6" s="114"/>
      <c r="F6" s="115"/>
      <c r="G6" s="24">
        <f>G5*'Fane 12. Nøgletal'!C19</f>
        <v>41904.950720834313</v>
      </c>
      <c r="H6" s="14" t="s">
        <v>3</v>
      </c>
      <c r="I6" s="1"/>
    </row>
    <row r="7" spans="1:9" x14ac:dyDescent="0.25">
      <c r="A7" s="1"/>
      <c r="B7" s="56"/>
      <c r="C7" s="57"/>
      <c r="D7" s="57"/>
      <c r="E7" s="57"/>
      <c r="F7" s="57"/>
      <c r="G7" s="57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0" t="s">
        <v>63</v>
      </c>
      <c r="C9" s="111"/>
      <c r="D9" s="111"/>
      <c r="E9" s="111"/>
      <c r="F9" s="111"/>
      <c r="G9" s="111"/>
      <c r="H9" s="112"/>
      <c r="I9" s="1"/>
    </row>
    <row r="10" spans="1:9" x14ac:dyDescent="0.25">
      <c r="A10" s="1"/>
      <c r="B10" s="113" t="s">
        <v>64</v>
      </c>
      <c r="C10" s="114"/>
      <c r="D10" s="114"/>
      <c r="E10" s="114"/>
      <c r="F10" s="115"/>
      <c r="G10" s="24">
        <f>(G5-G6)*(1+'Fane 12. Nøgletal'!C9)</f>
        <v>4620985.2294807145</v>
      </c>
      <c r="H10" s="14" t="s">
        <v>3</v>
      </c>
      <c r="I10" s="1"/>
    </row>
    <row r="11" spans="1:9" x14ac:dyDescent="0.25">
      <c r="A11" s="1"/>
      <c r="B11" s="116" t="s">
        <v>65</v>
      </c>
      <c r="C11" s="117"/>
      <c r="D11" s="117"/>
      <c r="E11" s="117"/>
      <c r="F11" s="118"/>
      <c r="G11" s="9">
        <v>0</v>
      </c>
      <c r="H11" s="14" t="s">
        <v>3</v>
      </c>
      <c r="I11" s="1"/>
    </row>
    <row r="12" spans="1:9" x14ac:dyDescent="0.25">
      <c r="A12" s="1"/>
      <c r="B12" s="113" t="s">
        <v>66</v>
      </c>
      <c r="C12" s="114"/>
      <c r="D12" s="114"/>
      <c r="E12" s="114"/>
      <c r="F12" s="115"/>
      <c r="G12" s="24">
        <f>G10*'Fane 12. Nøgletal'!C19+G11*'Fane 12. Nøgletal'!C20</f>
        <v>42050.965588274506</v>
      </c>
      <c r="H12" s="14" t="s">
        <v>3</v>
      </c>
      <c r="I12" s="1"/>
    </row>
    <row r="13" spans="1:9" x14ac:dyDescent="0.25">
      <c r="A13" s="1"/>
      <c r="B13" s="56"/>
      <c r="C13" s="57"/>
      <c r="D13" s="57"/>
      <c r="E13" s="57"/>
      <c r="F13" s="57"/>
      <c r="G13" s="57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0" t="s">
        <v>67</v>
      </c>
      <c r="C15" s="111"/>
      <c r="D15" s="111"/>
      <c r="E15" s="111"/>
      <c r="F15" s="111"/>
      <c r="G15" s="111"/>
      <c r="H15" s="112"/>
      <c r="I15" s="1"/>
    </row>
    <row r="16" spans="1:9" x14ac:dyDescent="0.25">
      <c r="A16" s="1"/>
      <c r="B16" s="113" t="s">
        <v>68</v>
      </c>
      <c r="C16" s="114"/>
      <c r="D16" s="114"/>
      <c r="E16" s="114"/>
      <c r="F16" s="115"/>
      <c r="G16" s="24">
        <f>(G10+G11-G12)*(1+'Fane 12. Nøgletal'!C11)</f>
        <v>4656318.2529522218</v>
      </c>
      <c r="H16" s="14" t="s">
        <v>3</v>
      </c>
      <c r="I16" s="1"/>
    </row>
    <row r="17" spans="1:9" x14ac:dyDescent="0.25">
      <c r="A17" s="1"/>
      <c r="B17" s="113" t="s">
        <v>126</v>
      </c>
      <c r="C17" s="114"/>
      <c r="D17" s="114"/>
      <c r="E17" s="114"/>
      <c r="F17" s="115"/>
      <c r="G17" s="24">
        <v>30741.519619449693</v>
      </c>
      <c r="H17" s="14" t="s">
        <v>3</v>
      </c>
      <c r="I17" s="1"/>
    </row>
    <row r="18" spans="1:9" x14ac:dyDescent="0.25">
      <c r="A18" s="1"/>
      <c r="B18" s="116" t="s">
        <v>69</v>
      </c>
      <c r="C18" s="117"/>
      <c r="D18" s="117"/>
      <c r="E18" s="117"/>
      <c r="F18" s="118"/>
      <c r="G18" s="9">
        <v>0</v>
      </c>
      <c r="H18" s="14" t="s">
        <v>3</v>
      </c>
      <c r="I18" s="1"/>
    </row>
    <row r="19" spans="1:9" x14ac:dyDescent="0.25">
      <c r="A19" s="1"/>
      <c r="B19" s="113" t="s">
        <v>70</v>
      </c>
      <c r="C19" s="114"/>
      <c r="D19" s="114"/>
      <c r="E19" s="114"/>
      <c r="F19" s="115"/>
      <c r="G19" s="24">
        <f>(G16+G17+G18)*'Fane 12. Nøgletal'!C21</f>
        <v>40777.420021373538</v>
      </c>
      <c r="H19" s="14" t="s">
        <v>3</v>
      </c>
      <c r="I19" s="1"/>
    </row>
    <row r="20" spans="1:9" x14ac:dyDescent="0.25">
      <c r="A20" s="1"/>
      <c r="B20" s="56"/>
      <c r="C20" s="57"/>
      <c r="D20" s="57"/>
      <c r="E20" s="57"/>
      <c r="F20" s="57"/>
      <c r="G20" s="57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0" t="s">
        <v>71</v>
      </c>
      <c r="C22" s="111"/>
      <c r="D22" s="111"/>
      <c r="E22" s="111"/>
      <c r="F22" s="111"/>
      <c r="G22" s="111"/>
      <c r="H22" s="112"/>
      <c r="I22" s="1"/>
    </row>
    <row r="23" spans="1:9" x14ac:dyDescent="0.25">
      <c r="A23" s="1"/>
      <c r="B23" s="113" t="s">
        <v>72</v>
      </c>
      <c r="C23" s="114"/>
      <c r="D23" s="114"/>
      <c r="E23" s="114"/>
      <c r="F23" s="115"/>
      <c r="G23" s="24">
        <f>(SUM(G16:G18)-G19)*(1+'Fane 12. Nøgletal'!C11)</f>
        <v>4724804.5243083974</v>
      </c>
      <c r="H23" s="14" t="s">
        <v>3</v>
      </c>
      <c r="I23" s="1"/>
    </row>
    <row r="24" spans="1:9" x14ac:dyDescent="0.25">
      <c r="A24" s="1"/>
      <c r="B24" s="116" t="s">
        <v>73</v>
      </c>
      <c r="C24" s="117"/>
      <c r="D24" s="117"/>
      <c r="E24" s="117"/>
      <c r="F24" s="118"/>
      <c r="G24" s="24">
        <v>18034.227111613305</v>
      </c>
      <c r="H24" s="14" t="s">
        <v>3</v>
      </c>
      <c r="I24" s="1"/>
    </row>
    <row r="25" spans="1:9" x14ac:dyDescent="0.25">
      <c r="A25" s="1"/>
      <c r="B25" s="113" t="s">
        <v>74</v>
      </c>
      <c r="C25" s="114"/>
      <c r="D25" s="114"/>
      <c r="E25" s="114"/>
      <c r="F25" s="115"/>
      <c r="G25" s="24">
        <f>G23*'Fane 12. Nøgletal'!C21+G24*'Fane 12. Nøgletal'!C22</f>
        <v>41617.971411452876</v>
      </c>
      <c r="H25" s="14" t="s">
        <v>3</v>
      </c>
      <c r="I25" s="1"/>
    </row>
    <row r="26" spans="1:9" x14ac:dyDescent="0.25">
      <c r="A26" s="1"/>
      <c r="B26" s="56"/>
      <c r="C26" s="57"/>
      <c r="D26" s="57"/>
      <c r="E26" s="57"/>
      <c r="F26" s="57"/>
      <c r="G26" s="57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0" t="s">
        <v>173</v>
      </c>
      <c r="C28" s="111"/>
      <c r="D28" s="111"/>
      <c r="E28" s="111"/>
      <c r="F28" s="111"/>
      <c r="G28" s="111"/>
      <c r="H28" s="112"/>
      <c r="I28" s="1"/>
    </row>
    <row r="29" spans="1:9" x14ac:dyDescent="0.25">
      <c r="A29" s="1"/>
      <c r="B29" s="113" t="s">
        <v>75</v>
      </c>
      <c r="C29" s="114"/>
      <c r="D29" s="114"/>
      <c r="E29" s="114"/>
      <c r="F29" s="115"/>
      <c r="G29" s="24">
        <f>(G23+G24-G25)*(1+'Fane 12. Nøgletal'!C13)</f>
        <v>4758575.6735246629</v>
      </c>
      <c r="H29" s="14" t="s">
        <v>3</v>
      </c>
      <c r="I29" s="1"/>
    </row>
    <row r="30" spans="1:9" x14ac:dyDescent="0.25">
      <c r="A30" s="1"/>
      <c r="B30" s="113" t="s">
        <v>152</v>
      </c>
      <c r="C30" s="114"/>
      <c r="D30" s="114"/>
      <c r="E30" s="114"/>
      <c r="F30" s="115"/>
      <c r="G30" s="24">
        <v>1868.77708416</v>
      </c>
      <c r="H30" s="14" t="s">
        <v>3</v>
      </c>
      <c r="I30" s="1"/>
    </row>
    <row r="31" spans="1:9" x14ac:dyDescent="0.25">
      <c r="A31" s="1"/>
      <c r="B31" s="113" t="s">
        <v>174</v>
      </c>
      <c r="C31" s="114"/>
      <c r="D31" s="114"/>
      <c r="E31" s="114"/>
      <c r="F31" s="115"/>
      <c r="G31" s="24">
        <f>(G29+G30)*'Fane 12. Nøgletal'!C23</f>
        <v>130912.22239174262</v>
      </c>
      <c r="H31" s="14" t="s">
        <v>3</v>
      </c>
      <c r="I31" s="1"/>
    </row>
    <row r="32" spans="1:9" x14ac:dyDescent="0.25">
      <c r="A32" s="1"/>
      <c r="B32" s="56"/>
      <c r="C32" s="57"/>
      <c r="D32" s="57"/>
      <c r="E32" s="57"/>
      <c r="F32" s="57"/>
      <c r="G32" s="57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0" t="s">
        <v>178</v>
      </c>
      <c r="C34" s="111"/>
      <c r="D34" s="111"/>
      <c r="E34" s="111"/>
      <c r="F34" s="111"/>
      <c r="G34" s="111"/>
      <c r="H34" s="112"/>
      <c r="I34" s="1"/>
    </row>
    <row r="35" spans="1:9" x14ac:dyDescent="0.25">
      <c r="A35" s="1"/>
      <c r="B35" s="113" t="s">
        <v>78</v>
      </c>
      <c r="C35" s="114"/>
      <c r="D35" s="114"/>
      <c r="E35" s="114"/>
      <c r="F35" s="115"/>
      <c r="G35" s="24">
        <f>(G29+G30-G31)*(1+'Fane 12. Nøgletal'!C13)</f>
        <v>4686012.521401329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24">
        <f>SUM('Fane 2.1. Økonomisk ramme 2022'!C11)*(1+'Fane 12. Nøgletal'!C14)</f>
        <v>1806.2031268841956</v>
      </c>
      <c r="H36" s="14" t="s">
        <v>3</v>
      </c>
      <c r="I36" s="38"/>
    </row>
    <row r="37" spans="1:9" x14ac:dyDescent="0.25">
      <c r="A37" s="1"/>
      <c r="B37" s="113" t="s">
        <v>193</v>
      </c>
      <c r="C37" s="114"/>
      <c r="D37" s="114"/>
      <c r="E37" s="114"/>
      <c r="F37" s="115"/>
      <c r="G37" s="24">
        <f>SUM('Fane 2.1. Økonomisk ramme 2022'!C13,'Fane 2.1. Økonomisk ramme 2022'!C15,'Fane 2.1. Økonomisk ramme 2022'!C17)*(1+'Fane 12. Nøgletal'!C14)</f>
        <v>1320108.7789707102</v>
      </c>
      <c r="H37" s="14" t="s">
        <v>3</v>
      </c>
      <c r="I37" s="1"/>
    </row>
    <row r="38" spans="1:9" x14ac:dyDescent="0.25">
      <c r="A38" s="1"/>
      <c r="B38" s="113" t="s">
        <v>179</v>
      </c>
      <c r="C38" s="114"/>
      <c r="D38" s="114"/>
      <c r="E38" s="114"/>
      <c r="F38" s="115"/>
      <c r="G38" s="24">
        <f>G35*'Fane 12. Nøgletal'!C23+G37*'Fane 12. Nøgletal'!C24</f>
        <v>148402.95426730305</v>
      </c>
      <c r="H38" s="14" t="s">
        <v>3</v>
      </c>
      <c r="I38" s="1"/>
    </row>
    <row r="39" spans="1:9" x14ac:dyDescent="0.25">
      <c r="A39" s="1"/>
      <c r="B39" s="56"/>
      <c r="C39" s="57"/>
      <c r="D39" s="57"/>
      <c r="E39" s="57"/>
      <c r="F39" s="57"/>
      <c r="G39" s="57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0" t="s">
        <v>82</v>
      </c>
      <c r="C41" s="111"/>
      <c r="D41" s="111"/>
      <c r="E41" s="111"/>
      <c r="F41" s="111"/>
      <c r="G41" s="111"/>
      <c r="H41" s="112"/>
      <c r="I41" s="1"/>
    </row>
    <row r="42" spans="1:9" x14ac:dyDescent="0.25">
      <c r="A42" s="1"/>
      <c r="B42" s="113" t="s">
        <v>77</v>
      </c>
      <c r="C42" s="114"/>
      <c r="D42" s="114"/>
      <c r="E42" s="114"/>
      <c r="F42" s="115"/>
      <c r="G42" s="24">
        <f>(G35+G37-G38)*(1+'Fane 12. Nøgletal'!C14)</f>
        <v>5877048.8166468814</v>
      </c>
      <c r="H42" s="14" t="s">
        <v>3</v>
      </c>
      <c r="I42" s="1"/>
    </row>
    <row r="43" spans="1:9" x14ac:dyDescent="0.25">
      <c r="A43" s="1"/>
      <c r="B43" s="113" t="s">
        <v>96</v>
      </c>
      <c r="C43" s="114"/>
      <c r="D43" s="114"/>
      <c r="E43" s="114"/>
      <c r="F43" s="115"/>
      <c r="G43" s="9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3" t="s">
        <v>76</v>
      </c>
      <c r="C44" s="114"/>
      <c r="D44" s="114"/>
      <c r="E44" s="114"/>
      <c r="F44" s="115"/>
      <c r="G44" s="24">
        <f>(G42+G43)*'Fane 12. Nøgletal'!C24</f>
        <v>86980.322486373843</v>
      </c>
      <c r="H44" s="14" t="s">
        <v>3</v>
      </c>
      <c r="I44" s="1"/>
    </row>
    <row r="45" spans="1:9" x14ac:dyDescent="0.25">
      <c r="A45" s="1"/>
      <c r="B45" s="56"/>
      <c r="C45" s="57"/>
      <c r="D45" s="57"/>
      <c r="E45" s="57"/>
      <c r="F45" s="57"/>
      <c r="G45" s="57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10" t="s">
        <v>153</v>
      </c>
      <c r="C51" s="111"/>
      <c r="D51" s="111"/>
      <c r="E51" s="111"/>
      <c r="F51" s="111"/>
      <c r="G51" s="111"/>
      <c r="H51" s="112"/>
      <c r="I51" s="1"/>
    </row>
    <row r="52" spans="1:9" x14ac:dyDescent="0.25">
      <c r="A52" s="1"/>
      <c r="B52" s="113" t="s">
        <v>154</v>
      </c>
      <c r="C52" s="114"/>
      <c r="D52" s="114"/>
      <c r="E52" s="114"/>
      <c r="F52" s="115"/>
      <c r="G52" s="24">
        <f>(G42+G43-G44)*(1+'Fane 12. Nøgletal'!C14)</f>
        <v>5809175.7201912375</v>
      </c>
      <c r="H52" s="14" t="s">
        <v>3</v>
      </c>
      <c r="I52" s="1"/>
    </row>
    <row r="53" spans="1:9" x14ac:dyDescent="0.25">
      <c r="A53" s="1"/>
      <c r="B53" s="113" t="s">
        <v>155</v>
      </c>
      <c r="C53" s="114"/>
      <c r="D53" s="114"/>
      <c r="E53" s="114"/>
      <c r="F53" s="115"/>
      <c r="G53" s="9">
        <f>-'Fane 11. Bortfald'!E26*(1+'Fane 12. Nøgletal'!C13)</f>
        <v>0</v>
      </c>
      <c r="H53" s="14" t="s">
        <v>3</v>
      </c>
      <c r="I53" s="1"/>
    </row>
    <row r="54" spans="1:9" x14ac:dyDescent="0.25">
      <c r="A54" s="1"/>
      <c r="B54" s="113" t="s">
        <v>156</v>
      </c>
      <c r="C54" s="114"/>
      <c r="D54" s="114"/>
      <c r="E54" s="114"/>
      <c r="F54" s="115"/>
      <c r="G54" s="24">
        <f>(G52+G53)*'Fane 12. Nøgletal'!C24</f>
        <v>85975.800658830325</v>
      </c>
      <c r="H54" s="14" t="s">
        <v>3</v>
      </c>
      <c r="I54" s="1"/>
    </row>
    <row r="55" spans="1:9" x14ac:dyDescent="0.25">
      <c r="A55" s="1"/>
      <c r="B55" s="56"/>
      <c r="C55" s="57"/>
      <c r="D55" s="57"/>
      <c r="E55" s="57"/>
      <c r="F55" s="57"/>
      <c r="G55" s="57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10" t="s">
        <v>194</v>
      </c>
      <c r="C57" s="111"/>
      <c r="D57" s="111"/>
      <c r="E57" s="111"/>
      <c r="F57" s="111"/>
      <c r="G57" s="111"/>
      <c r="H57" s="112"/>
      <c r="I57" s="1"/>
    </row>
    <row r="58" spans="1:9" x14ac:dyDescent="0.25">
      <c r="A58" s="1"/>
      <c r="B58" s="113" t="s">
        <v>195</v>
      </c>
      <c r="C58" s="114"/>
      <c r="D58" s="114"/>
      <c r="E58" s="114"/>
      <c r="F58" s="115"/>
      <c r="G58" s="24">
        <f>(G52+G53-G54)*(1+'Fane 12. Nøgletal'!C14)</f>
        <v>5742086.4792668642</v>
      </c>
      <c r="H58" s="14" t="s">
        <v>3</v>
      </c>
      <c r="I58" s="1"/>
    </row>
    <row r="59" spans="1:9" x14ac:dyDescent="0.25">
      <c r="A59" s="1"/>
      <c r="B59" s="113" t="s">
        <v>196</v>
      </c>
      <c r="C59" s="114"/>
      <c r="D59" s="114"/>
      <c r="E59" s="114"/>
      <c r="F59" s="115"/>
      <c r="G59" s="9">
        <f>-'Fane 11. Bortfald'!E33*(1+'Fane 12. Nøgletal'!C14)</f>
        <v>0</v>
      </c>
      <c r="H59" s="14" t="s">
        <v>3</v>
      </c>
      <c r="I59" s="1"/>
    </row>
    <row r="60" spans="1:9" x14ac:dyDescent="0.25">
      <c r="A60" s="1"/>
      <c r="B60" s="113" t="s">
        <v>197</v>
      </c>
      <c r="C60" s="114"/>
      <c r="D60" s="114"/>
      <c r="E60" s="114"/>
      <c r="F60" s="115"/>
      <c r="G60" s="24">
        <f>(G58+G59)*'Fane 12. Nøgletal'!C24</f>
        <v>84982.879893149599</v>
      </c>
      <c r="H60" s="14" t="s">
        <v>3</v>
      </c>
      <c r="I60" s="1"/>
    </row>
    <row r="61" spans="1:9" x14ac:dyDescent="0.25">
      <c r="A61" s="1"/>
      <c r="B61" s="56"/>
      <c r="C61" s="57"/>
      <c r="D61" s="57"/>
      <c r="E61" s="57"/>
      <c r="F61" s="57"/>
      <c r="G61" s="57"/>
      <c r="H61" s="20"/>
      <c r="I61" s="1"/>
    </row>
  </sheetData>
  <sheetProtection algorithmName="SHA-512" hashValue="GI7XJ+XJufcuWT5DQ6EnRAXSTh+mTnAebHvPXWO9Tc8yKGitV6TSOvBIycOr7bJH9bFa5gzK/bB1PXCfJVpT3Q==" saltValue="hJ/vLmemh5u82ZiwTlwSzg==" spinCount="100000" sheet="1" objects="1" scenarios="1"/>
  <mergeCells count="37">
    <mergeCell ref="B1:H3"/>
    <mergeCell ref="B52:F52"/>
    <mergeCell ref="B53:F53"/>
    <mergeCell ref="B54:F54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51:H51"/>
    <mergeCell ref="B28:H28"/>
    <mergeCell ref="B29:F29"/>
    <mergeCell ref="B31:F31"/>
    <mergeCell ref="B34:H34"/>
    <mergeCell ref="B22:H22"/>
    <mergeCell ref="B23:F23"/>
    <mergeCell ref="B24:F24"/>
    <mergeCell ref="B25:F25"/>
    <mergeCell ref="B57:H57"/>
    <mergeCell ref="B58:F58"/>
    <mergeCell ref="B59:F59"/>
    <mergeCell ref="B60:F60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91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0" t="s">
        <v>9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113" t="s">
        <v>105</v>
      </c>
      <c r="C9" s="114"/>
      <c r="D9" s="114"/>
      <c r="E9" s="114"/>
      <c r="F9" s="115"/>
      <c r="G9" s="43">
        <v>1.8375110108782941E-2</v>
      </c>
      <c r="H9" s="14"/>
      <c r="I9" s="1"/>
    </row>
    <row r="10" spans="1:9" x14ac:dyDescent="0.25">
      <c r="A10" s="1"/>
      <c r="B10" s="113" t="s">
        <v>141</v>
      </c>
      <c r="C10" s="114"/>
      <c r="D10" s="114"/>
      <c r="E10" s="114"/>
      <c r="F10" s="115"/>
      <c r="G10" s="43">
        <v>9.162918931977633E-3</v>
      </c>
      <c r="H10" s="14"/>
      <c r="I10" s="1"/>
    </row>
    <row r="11" spans="1:9" x14ac:dyDescent="0.25">
      <c r="A11" s="1"/>
      <c r="B11" s="56"/>
      <c r="C11" s="57"/>
      <c r="D11" s="57"/>
      <c r="E11" s="57"/>
      <c r="F11" s="57"/>
      <c r="G11" s="57"/>
      <c r="H11" s="20"/>
      <c r="I11" s="1"/>
    </row>
    <row r="12" spans="1:9" ht="14.25" customHeight="1" x14ac:dyDescent="0.25">
      <c r="A12" s="1"/>
      <c r="B12" s="122" t="s">
        <v>191</v>
      </c>
      <c r="C12" s="123"/>
      <c r="D12" s="123"/>
      <c r="E12" s="123"/>
      <c r="F12" s="123"/>
      <c r="G12" s="123"/>
      <c r="H12" s="124"/>
      <c r="I12" s="1"/>
    </row>
    <row r="13" spans="1:9" ht="12.75" customHeight="1" x14ac:dyDescent="0.25">
      <c r="A13" s="18"/>
      <c r="B13" s="125"/>
      <c r="C13" s="126"/>
      <c r="D13" s="126"/>
      <c r="E13" s="126"/>
      <c r="F13" s="126"/>
      <c r="G13" s="126"/>
      <c r="H13" s="127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xURuqqKiSlXML91gGia6KGc86NA9BM4XfUVnGayTW1soFqSJFKtsyT+lWWEYo7++yaokOBnPEnR8N2fQ9TbRZA==" saltValue="6q3r8s0dvKaymvCsNGV4SA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2021-10-08T12:26:26Z</dcterms:modified>
</cp:coreProperties>
</file>