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Vandcenter Syd AS (S099)\ØR2025\"/>
    </mc:Choice>
  </mc:AlternateContent>
  <xr:revisionPtr revIDLastSave="0" documentId="13_ncr:1_{00A3BF75-2ECB-497D-9B08-C64B56961C16}"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19" i="19"/>
  <c r="C20"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31" i="37"/>
  <c r="C32" i="37" s="1"/>
  <c r="C10" i="2" l="1"/>
  <c r="C16" i="30" l="1"/>
  <c r="C17" i="30" s="1"/>
  <c r="C21" i="30" l="1"/>
  <c r="C22" i="30" s="1"/>
  <c r="C18" i="2"/>
  <c r="E31" i="37"/>
  <c r="E32"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<sst xmlns="http://schemas.openxmlformats.org/spreadsheetml/2006/main" count="590" uniqueCount="252">
  <si>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</si>
  <si>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</si>
  <si>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</si>
  <si>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</si>
  <si>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</si>
  <si>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</si>
  <si>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</si>
  <si>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</si>
  <si>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</si>
  <si>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</si>
  <si>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</si>
  <si>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</si>
  <si>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</si>
  <si>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</si>
  <si>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</si>
  <si>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</si>
  <si>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</si>
  <si>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</si>
  <si>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</si>
  <si>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</si>
  <si>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</si>
  <si>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</si>
  <si>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</si>
  <si>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</si>
  <si>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</si>
  <si>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</si>
  <si>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</si>
  <si>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</si>
  <si>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</si>
  <si>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</si>
  <si>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</si>
  <si>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</si>
  <si>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</si>
  <si>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</si>
  <si>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</si>
  <si>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</si>
  <si>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</si>
  <si>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</si>
  <si>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</si>
  <si>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</si>
  <si>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</si>
  <si>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</si>
  <si>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</si>
  <si>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</si>
  <si>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</si>
  <si>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</si>
  <si>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</si>
  <si>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</si>
  <si>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</si>
  <si>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</si>
  <si>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</si>
  <si>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</si>
  <si>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</si>
  <si>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</si>
  <si>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</si>
  <si>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</si>
  <si>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</si>
  <si>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</si>
  <si>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</si>
  <si>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</si>
  <si>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</si>
  <si>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</si>
  <si>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</si>
  <si>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</si>
  <si>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</si>
  <si>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</si>
  <si>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</si>
  <si>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</si>
  <si>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</si>
  <si>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</si>
  <si>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</si>
  <si>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</si>
  <si>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</si>
  <si>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</si>
  <si>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</si>
  <si>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</si>
  <si>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</si>
  <si>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</si>
  <si>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</si>
  <si>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</si>
  <si>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</si>
  <si>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</si>
  <si>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</si>
  <si>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</si>
  <si>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</si>
  <si>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</si>
  <si>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</si>
  <si>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</si>
  <si>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</si>
  <si>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</si>
  <si>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</si>
  <si>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</si>
  <si>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</si>
  <si>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</si>
  <si>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</si>
  <si>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</si>
  <si>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</si>
  <si>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</si>
  <si>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</si>
  <si>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</si>
  <si>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</si>
  <si>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</si>
  <si>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</si>
  <si>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</si>
  <si>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</si>
  <si>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</si>
  <si>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</si>
  <si>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</si>
  <si>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</si>
  <si>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</si>
  <si>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</si>
  <si>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</si>
  <si>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</si>
  <si>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</si>
  <si>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</si>
  <si>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</si>
  <si>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</si>
  <si>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</si>
  <si>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</si>
  <si>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</si>
  <si>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</si>
  <si>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</si>
  <si>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</si>
  <si>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</si>
  <si>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</si>
  <si>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</si>
  <si>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</si>
  <si>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</si>
  <si>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</si>
  <si>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</si>
  <si>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</si>
  <si>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</si>
  <si>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</si>
  <si>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</si>
  <si>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</si>
  <si>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</si>
  <si>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</si>
  <si>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</si>
  <si>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</si>
  <si>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</si>
  <si>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</si>
  <si>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</si>
  <si>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</si>
  <si>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</si>
  <si>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</si>
  <si>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</si>
  <si>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</si>
  <si>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</si>
  <si>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</si>
  <si>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</si>
  <si>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</si>
  <si>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</si>
  <si>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</si>
  <si>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</si>
  <si>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</si>
  <si>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</si>
  <si>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</si>
  <si>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</si>
  <si>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</si>
  <si>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</si>
  <si>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</si>
  <si>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</si>
  <si>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</si>
  <si>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</si>
  <si>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</si>
  <si>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</si>
  <si>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</si>
  <si>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</si>
  <si>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</si>
  <si>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</si>
  <si>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</si>
  <si>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</si>
  <si>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</si>
  <si>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</si>
  <si>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</si>
  <si>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</si>
  <si>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</si>
  <si>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</si>
  <si>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</si>
  <si>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</si>
  <si>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</si>
  <si>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</si>
  <si>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</si>
  <si>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</si>
  <si>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</si>
  <si>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</si>
  <si>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</si>
  <si>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</si>
  <si>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</si>
  <si>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</si>
  <si>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</si>
  <si>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</si>
  <si>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</si>
  <si>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</si>
  <si>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</si>
  <si>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</si>
  <si>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</si>
  <si>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</si>
  <si>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</si>
  <si>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</si>
  <si>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</si>
  <si>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</si>
  <si>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</si>
  <si>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</si>
  <si>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</si>
  <si>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</si>
  <si>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</si>
  <si>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</si>
  <si>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</si>
  <si>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</si>
  <si>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</si>
  <si>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</si>
  <si>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</si>
  <si>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</si>
  <si>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</si>
  <si>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</si>
  <si>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</si>
  <si>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</si>
  <si>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</si>
  <si>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</si>
  <si>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</si>
  <si>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</si>
  <si>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</si>
  <si>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</si>
  <si>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</si>
  <si>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</si>
  <si>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</si>
  <si>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</si>
  <si>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</si>
  <si>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Ejendomsskatter</t>
  </si>
  <si>
    <t>Tjenestemandspensioner</t>
  </si>
  <si>
    <t>Gebyr til Miljøstyrelsen</t>
  </si>
  <si>
    <t>Bedre vandmiljø i fremtiden</t>
  </si>
  <si>
    <t>Omkostninger til obligatorisk samarbejde med Odense Kommune</t>
  </si>
  <si>
    <t>P-000712 - SI - TVÆ - Vedligholdelse af modeller 2023</t>
  </si>
  <si>
    <t>SI - Asylgade, Gravene og Nørregade - Regnvandshåndtering</t>
  </si>
  <si>
    <t>SI - Everrenden-regnvandshåndtering - INF</t>
  </si>
  <si>
    <t>SI - IT - implement og Udvikling af RehabIT-Spildevand 2023</t>
  </si>
  <si>
    <t>SI - TV_spul (tilstandsvurdering og projektforberedelse)2023</t>
  </si>
  <si>
    <t>SI - TVÆ - Drift af døgnmodel 2023</t>
  </si>
  <si>
    <t>SI - TVÆ - Drift og vedl_ af WEST-målesta_ i vandløb - 2023</t>
  </si>
  <si>
    <t>SI - TVÆ - DVFI i vandløb i NFK 2023</t>
  </si>
  <si>
    <t>SI - TVÆ - Overvågning og analyse af afløbsmålinger 2023</t>
  </si>
  <si>
    <t>SI - TVÆ - WEST Integreret model 2023</t>
  </si>
  <si>
    <t>SI - Visualiseringsside 2023</t>
  </si>
  <si>
    <t>SI - Agedrup - B&amp;A - Lunden 8 - Nyudstykning</t>
  </si>
  <si>
    <t>SI - Energivej, etape 2</t>
  </si>
  <si>
    <t>SI - Færdigg_ af udstykning og bassin, Højme Erhvervsudstykning</t>
  </si>
  <si>
    <t>SI - Glisholmvej, Drejebænken og Hestehaven - INF - Etape 3_</t>
  </si>
  <si>
    <t>SI - Pårupvej - INF - Bassin ved Snestruphave</t>
  </si>
  <si>
    <t>SI - Svendborgvej 35 - Admiralens have byggemodning - INF</t>
  </si>
  <si>
    <t>SI - Vibelundvej - B&amp;A - Byggemodning, Thors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</si>
</sst>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166" fontId="8" fillId="8" borderId="2" xfId="1" quotePrefix="1" applyNumberFormat="1" applyFont="1" applyFill="1" applyBorder="1" applyAlignment="1" applyProtection="1">
      <alignment horizontal="righ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6" t="s">
        <v>4</v>
      </c>
      <c r="D6" s="86"/>
      <c r="E6" s="86"/>
      <c r="F6" s="86"/>
      <c r="G6" s="3"/>
    </row>
    <row r="7" spans="1:7" ht="15" customHeight="1" x14ac:dyDescent="0.25">
      <c r="A7" s="1"/>
      <c r="B7" s="3"/>
      <c r="C7" s="86"/>
      <c r="D7" s="86"/>
      <c r="E7" s="86"/>
      <c r="F7" s="86"/>
      <c r="G7" s="3"/>
    </row>
    <row r="8" spans="1:7" ht="15.75" x14ac:dyDescent="0.25">
      <c r="A8" s="1"/>
      <c r="B8" s="4"/>
      <c r="C8" s="94" t="s">
        <v>226</v>
      </c>
      <c r="D8" s="94"/>
      <c r="E8" s="94"/>
      <c r="F8" s="94"/>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3" t="s">
        <v>5</v>
      </c>
      <c r="D11" s="93"/>
      <c r="E11" s="93"/>
      <c r="F11" s="93"/>
      <c r="G11" s="5"/>
    </row>
    <row r="12" spans="1:7" x14ac:dyDescent="0.25">
      <c r="A12" s="1"/>
      <c r="B12" s="1"/>
      <c r="C12" s="1"/>
      <c r="D12" s="1"/>
      <c r="E12" s="1"/>
      <c r="F12" s="1"/>
      <c r="G12" s="5"/>
    </row>
    <row r="13" spans="1:7" x14ac:dyDescent="0.25">
      <c r="A13" s="1"/>
      <c r="B13" s="6" t="s">
        <v>6</v>
      </c>
      <c r="C13" s="98" t="s">
        <v>127</v>
      </c>
      <c r="D13" s="99"/>
      <c r="E13" s="99"/>
      <c r="F13" s="100"/>
      <c r="G13" s="5"/>
    </row>
    <row r="14" spans="1:7" x14ac:dyDescent="0.25">
      <c r="A14" s="1"/>
      <c r="B14" s="6" t="s">
        <v>16</v>
      </c>
      <c r="C14" s="83" t="s">
        <v>186</v>
      </c>
      <c r="D14" s="84"/>
      <c r="E14" s="84"/>
      <c r="F14" s="85"/>
      <c r="G14" s="5"/>
    </row>
    <row r="15" spans="1:7" x14ac:dyDescent="0.25">
      <c r="A15" s="1"/>
      <c r="B15" s="6" t="s">
        <v>30</v>
      </c>
      <c r="C15" s="83" t="s">
        <v>149</v>
      </c>
      <c r="D15" s="84"/>
      <c r="E15" s="84"/>
      <c r="F15" s="85"/>
      <c r="G15" s="5"/>
    </row>
    <row r="16" spans="1:7" x14ac:dyDescent="0.25">
      <c r="A16" s="1"/>
      <c r="B16" s="6" t="s">
        <v>31</v>
      </c>
      <c r="C16" s="83" t="s">
        <v>151</v>
      </c>
      <c r="D16" s="84"/>
      <c r="E16" s="84"/>
      <c r="F16" s="85"/>
      <c r="G16" s="5"/>
    </row>
    <row r="17" spans="1:8" x14ac:dyDescent="0.25">
      <c r="A17" s="1"/>
      <c r="B17" s="6" t="s">
        <v>61</v>
      </c>
      <c r="C17" s="83" t="s">
        <v>152</v>
      </c>
      <c r="D17" s="84"/>
      <c r="E17" s="84"/>
      <c r="F17" s="85"/>
      <c r="G17" s="5"/>
    </row>
    <row r="18" spans="1:8" x14ac:dyDescent="0.25">
      <c r="A18" s="1"/>
      <c r="B18" s="6" t="s">
        <v>53</v>
      </c>
      <c r="C18" s="95" t="s">
        <v>45</v>
      </c>
      <c r="D18" s="96"/>
      <c r="E18" s="96"/>
      <c r="F18" s="97"/>
      <c r="G18" s="5"/>
    </row>
    <row r="19" spans="1:8" x14ac:dyDescent="0.25">
      <c r="A19" s="1"/>
      <c r="B19" s="6" t="s">
        <v>54</v>
      </c>
      <c r="C19" s="95" t="s">
        <v>46</v>
      </c>
      <c r="D19" s="96"/>
      <c r="E19" s="96"/>
      <c r="F19" s="97"/>
      <c r="G19" s="5"/>
    </row>
    <row r="20" spans="1:8" x14ac:dyDescent="0.25">
      <c r="A20" s="1"/>
      <c r="B20" s="6" t="s">
        <v>7</v>
      </c>
      <c r="C20" s="95" t="s">
        <v>10</v>
      </c>
      <c r="D20" s="96"/>
      <c r="E20" s="96"/>
      <c r="F20" s="97"/>
      <c r="G20" s="5"/>
    </row>
    <row r="21" spans="1:8" x14ac:dyDescent="0.25">
      <c r="A21" s="1"/>
      <c r="B21" s="6" t="s">
        <v>55</v>
      </c>
      <c r="C21" s="87" t="s">
        <v>12</v>
      </c>
      <c r="D21" s="88"/>
      <c r="E21" s="88"/>
      <c r="F21" s="89"/>
      <c r="G21" s="5"/>
    </row>
    <row r="22" spans="1:8" x14ac:dyDescent="0.25">
      <c r="A22" s="1"/>
      <c r="B22" s="6" t="s">
        <v>39</v>
      </c>
      <c r="C22" s="90" t="s">
        <v>153</v>
      </c>
      <c r="D22" s="91"/>
      <c r="E22" s="91"/>
      <c r="F22" s="92"/>
      <c r="G22" s="5"/>
    </row>
    <row r="23" spans="1:8" x14ac:dyDescent="0.25">
      <c r="A23" s="1"/>
      <c r="B23" s="6" t="s">
        <v>8</v>
      </c>
      <c r="C23" s="90" t="s">
        <v>112</v>
      </c>
      <c r="D23" s="91"/>
      <c r="E23" s="91"/>
      <c r="F23" s="92"/>
      <c r="G23" s="5"/>
    </row>
    <row r="24" spans="1:8" x14ac:dyDescent="0.25">
      <c r="A24" s="1"/>
      <c r="B24" s="6" t="s">
        <v>9</v>
      </c>
      <c r="C24" s="90" t="s">
        <v>154</v>
      </c>
      <c r="D24" s="91"/>
      <c r="E24" s="91"/>
      <c r="F24" s="92"/>
      <c r="G24" s="5"/>
    </row>
    <row r="25" spans="1:8" x14ac:dyDescent="0.25">
      <c r="A25" s="1"/>
      <c r="B25" s="6" t="s">
        <v>97</v>
      </c>
      <c r="C25" s="90" t="s">
        <v>91</v>
      </c>
      <c r="D25" s="91"/>
      <c r="E25" s="91"/>
      <c r="F25" s="92"/>
      <c r="G25" s="1"/>
    </row>
    <row r="26" spans="1:8" x14ac:dyDescent="0.25">
      <c r="A26" s="1"/>
      <c r="B26" s="6" t="s">
        <v>98</v>
      </c>
      <c r="C26" s="90" t="s">
        <v>40</v>
      </c>
      <c r="D26" s="91"/>
      <c r="E26" s="91"/>
      <c r="F26" s="92"/>
      <c r="G26" s="1"/>
    </row>
    <row r="27" spans="1:8" x14ac:dyDescent="0.25">
      <c r="A27" s="1"/>
      <c r="B27" s="6" t="s">
        <v>99</v>
      </c>
      <c r="C27" s="90" t="s">
        <v>41</v>
      </c>
      <c r="D27" s="91"/>
      <c r="E27" s="91"/>
      <c r="F27" s="92"/>
      <c r="G27" s="1"/>
    </row>
    <row r="28" spans="1:8" x14ac:dyDescent="0.25">
      <c r="A28" s="1"/>
      <c r="B28" s="6" t="s">
        <v>15</v>
      </c>
      <c r="C28" s="90" t="s">
        <v>42</v>
      </c>
      <c r="D28" s="91"/>
      <c r="E28" s="91"/>
      <c r="F28" s="92"/>
      <c r="G28" s="1"/>
      <c r="H28" s="2" t="s">
        <v>150</v>
      </c>
    </row>
    <row r="29" spans="1:8" x14ac:dyDescent="0.25">
      <c r="A29" s="1"/>
      <c r="B29" s="6" t="s">
        <v>33</v>
      </c>
      <c r="C29" s="90" t="s">
        <v>68</v>
      </c>
      <c r="D29" s="91"/>
      <c r="E29" s="91"/>
      <c r="F29" s="92"/>
      <c r="G29" s="1"/>
    </row>
    <row r="30" spans="1:8" x14ac:dyDescent="0.25">
      <c r="A30" s="1"/>
      <c r="B30" s="6" t="s">
        <v>34</v>
      </c>
      <c r="C30" s="90" t="s">
        <v>32</v>
      </c>
      <c r="D30" s="91"/>
      <c r="E30" s="91"/>
      <c r="F30" s="92"/>
      <c r="G30" s="1"/>
    </row>
    <row r="31" spans="1:8" x14ac:dyDescent="0.25">
      <c r="A31" s="1"/>
      <c r="B31" s="6" t="s">
        <v>100</v>
      </c>
      <c r="C31" s="101" t="s">
        <v>52</v>
      </c>
      <c r="D31" s="102"/>
      <c r="E31" s="102"/>
      <c r="F31" s="103"/>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LD4FWa9bh3sIdhAR2Lfmw68K6AFwprAVWchjLCO8cknTZhVKSu7w9vMQnIBrhjXZUrTAKvCX0XDbtIipPPD2rA==" saltValue="iAkieofQPHvVbytjDirAwA==" spinCount="100000" sheet="1" objects="1" scenarios="1"/>
  <mergeCells count="22">
    <mergeCell ref="C30:F30"/>
    <mergeCell ref="C31:F31"/>
    <mergeCell ref="C18:F18"/>
    <mergeCell ref="C25:F25"/>
    <mergeCell ref="C26:F26"/>
    <mergeCell ref="C29:F29"/>
    <mergeCell ref="C27:F27"/>
    <mergeCell ref="C28:F28"/>
    <mergeCell ref="C24:F24"/>
    <mergeCell ref="C23:F23"/>
    <mergeCell ref="C14:F14"/>
    <mergeCell ref="C6:F7"/>
    <mergeCell ref="C21:F21"/>
    <mergeCell ref="C22:F22"/>
    <mergeCell ref="C11:F11"/>
    <mergeCell ref="C8:F8"/>
    <mergeCell ref="C15:F15"/>
    <mergeCell ref="C16:F16"/>
    <mergeCell ref="C19:F19"/>
    <mergeCell ref="C13:F13"/>
    <mergeCell ref="C17:F17"/>
    <mergeCell ref="C20:F20"/>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2" t="s">
        <v>227</v>
      </c>
      <c r="C10" s="73">
        <v>7325438</v>
      </c>
      <c r="D10" s="14" t="s">
        <v>3</v>
      </c>
      <c r="E10" s="1"/>
    </row>
    <row r="11" spans="1:5" ht="15" customHeight="1" x14ac:dyDescent="0.25">
      <c r="A11" s="1"/>
      <c r="B11" s="72" t="s">
        <v>228</v>
      </c>
      <c r="C11" s="73">
        <v>356101</v>
      </c>
      <c r="D11" s="14" t="s">
        <v>3</v>
      </c>
      <c r="E11" s="1"/>
    </row>
    <row r="12" spans="1:5" x14ac:dyDescent="0.25">
      <c r="A12" s="1"/>
      <c r="B12" s="72" t="s">
        <v>229</v>
      </c>
      <c r="C12" s="73">
        <v>1168589</v>
      </c>
      <c r="D12" s="14" t="s">
        <v>3</v>
      </c>
      <c r="E12" s="1"/>
    </row>
    <row r="13" spans="1:5" x14ac:dyDescent="0.25">
      <c r="A13" s="1"/>
      <c r="B13" s="72" t="s">
        <v>230</v>
      </c>
      <c r="C13" s="73">
        <v>441788</v>
      </c>
      <c r="D13" s="14" t="s">
        <v>3</v>
      </c>
      <c r="E13" s="1"/>
    </row>
    <row r="14" spans="1:5" x14ac:dyDescent="0.25">
      <c r="A14" s="1"/>
      <c r="B14" s="72" t="s">
        <v>231</v>
      </c>
      <c r="C14" s="73">
        <v>49327</v>
      </c>
      <c r="D14" s="14" t="s">
        <v>3</v>
      </c>
      <c r="E14" s="1"/>
    </row>
    <row r="15" spans="1:5" x14ac:dyDescent="0.25">
      <c r="A15" s="1"/>
      <c r="B15" s="72"/>
      <c r="C15" s="73"/>
      <c r="D15" s="14" t="s">
        <v>3</v>
      </c>
      <c r="E15" s="1"/>
    </row>
    <row r="16" spans="1:5" x14ac:dyDescent="0.25">
      <c r="A16" s="1"/>
      <c r="B16" s="72"/>
      <c r="C16" s="73"/>
      <c r="D16" s="14" t="s">
        <v>3</v>
      </c>
      <c r="E16" s="1"/>
    </row>
    <row r="17" spans="1:5" x14ac:dyDescent="0.25">
      <c r="A17" s="1"/>
      <c r="B17" s="72"/>
      <c r="C17" s="73"/>
      <c r="D17" s="14" t="s">
        <v>3</v>
      </c>
      <c r="E17" s="1"/>
    </row>
    <row r="18" spans="1:5" x14ac:dyDescent="0.25">
      <c r="A18" s="1"/>
      <c r="B18" s="72"/>
      <c r="C18" s="73"/>
      <c r="D18" s="14" t="s">
        <v>3</v>
      </c>
      <c r="E18" s="1"/>
    </row>
    <row r="19" spans="1:5" x14ac:dyDescent="0.25">
      <c r="A19" s="1"/>
      <c r="B19" s="33" t="s">
        <v>167</v>
      </c>
      <c r="C19" s="12">
        <f>SUM(C10:C18)</f>
        <v>9341243</v>
      </c>
      <c r="D19" s="13" t="s">
        <v>3</v>
      </c>
      <c r="E19" s="1"/>
    </row>
    <row r="20" spans="1:5" x14ac:dyDescent="0.25">
      <c r="A20" s="1"/>
      <c r="B20" s="33" t="s">
        <v>168</v>
      </c>
      <c r="C20" s="12">
        <f>C19*(1+'Fane 15. Nøgletal'!C10)^2</f>
        <v>10620953.03024267</v>
      </c>
      <c r="D20" s="13" t="s">
        <v>3</v>
      </c>
      <c r="E20" s="1"/>
    </row>
    <row r="21" spans="1:5" x14ac:dyDescent="0.25">
      <c r="A21" s="1"/>
      <c r="B21" s="16"/>
      <c r="C21" s="15"/>
      <c r="D21" s="15"/>
      <c r="E21" s="1"/>
    </row>
    <row r="22" spans="1:5" x14ac:dyDescent="0.25">
      <c r="A22" s="1"/>
      <c r="B22" s="16"/>
      <c r="C22" s="15"/>
      <c r="D22" s="15"/>
      <c r="E22" s="1"/>
    </row>
    <row r="23" spans="1:5" x14ac:dyDescent="0.25">
      <c r="A23" s="1"/>
      <c r="B23" s="108" t="s">
        <v>60</v>
      </c>
      <c r="C23" s="109"/>
      <c r="D23" s="110"/>
      <c r="E23" s="1"/>
    </row>
    <row r="24" spans="1:5" x14ac:dyDescent="0.25">
      <c r="A24" s="1"/>
      <c r="B24" s="37" t="s">
        <v>72</v>
      </c>
      <c r="C24" s="9">
        <v>0</v>
      </c>
      <c r="D24" s="14" t="s">
        <v>3</v>
      </c>
      <c r="E24" s="1"/>
    </row>
    <row r="25" spans="1:5" x14ac:dyDescent="0.25">
      <c r="A25" s="1"/>
      <c r="B25" s="37" t="s">
        <v>83</v>
      </c>
      <c r="C25" s="9">
        <v>0</v>
      </c>
      <c r="D25" s="14" t="s">
        <v>3</v>
      </c>
      <c r="E25" s="1"/>
    </row>
    <row r="26" spans="1:5" x14ac:dyDescent="0.25">
      <c r="A26" s="1"/>
      <c r="B26" s="37" t="s">
        <v>148</v>
      </c>
      <c r="C26" s="9">
        <v>0</v>
      </c>
      <c r="D26" s="14" t="s">
        <v>3</v>
      </c>
      <c r="E26" s="1"/>
    </row>
    <row r="27" spans="1:5" x14ac:dyDescent="0.25">
      <c r="A27" s="1"/>
      <c r="B27" s="34" t="s">
        <v>169</v>
      </c>
      <c r="C27" s="9">
        <v>0</v>
      </c>
      <c r="D27" s="36" t="s">
        <v>3</v>
      </c>
      <c r="E27" s="1"/>
    </row>
    <row r="28" spans="1:5" x14ac:dyDescent="0.25">
      <c r="A28" s="1"/>
      <c r="B28" s="108"/>
      <c r="C28" s="109"/>
      <c r="D28" s="110"/>
      <c r="E28" s="1"/>
    </row>
    <row r="29" spans="1:5" x14ac:dyDescent="0.25">
      <c r="A29" s="1"/>
      <c r="B29" s="1"/>
      <c r="C29" s="1"/>
      <c r="D29" s="1"/>
      <c r="E29" s="1"/>
    </row>
    <row r="30" spans="1:5" x14ac:dyDescent="0.25">
      <c r="A30" s="1"/>
      <c r="B30" s="1"/>
      <c r="C30" s="1"/>
      <c r="D30" s="1"/>
      <c r="E30" s="1"/>
    </row>
    <row r="31" spans="1:5" x14ac:dyDescent="0.25">
      <c r="A31" s="1"/>
      <c r="B31" s="108" t="s">
        <v>47</v>
      </c>
      <c r="C31" s="109"/>
      <c r="D31" s="110"/>
      <c r="E31" s="1"/>
    </row>
    <row r="32" spans="1:5" x14ac:dyDescent="0.25">
      <c r="A32" s="1"/>
      <c r="B32" s="37" t="s">
        <v>72</v>
      </c>
      <c r="C32" s="9">
        <v>0</v>
      </c>
      <c r="D32" s="14" t="s">
        <v>3</v>
      </c>
      <c r="E32" s="1"/>
    </row>
    <row r="33" spans="1:5" x14ac:dyDescent="0.25">
      <c r="A33" s="1"/>
      <c r="B33" s="37" t="s">
        <v>83</v>
      </c>
      <c r="C33" s="9">
        <v>0</v>
      </c>
      <c r="D33" s="14" t="s">
        <v>3</v>
      </c>
      <c r="E33" s="1"/>
    </row>
    <row r="34" spans="1:5" x14ac:dyDescent="0.25">
      <c r="A34" s="1"/>
      <c r="B34" s="37" t="s">
        <v>148</v>
      </c>
      <c r="C34" s="9">
        <v>0</v>
      </c>
      <c r="D34" s="14" t="s">
        <v>3</v>
      </c>
      <c r="E34" s="1"/>
    </row>
    <row r="35" spans="1:5" x14ac:dyDescent="0.25">
      <c r="A35" s="1"/>
      <c r="B35" s="34" t="s">
        <v>169</v>
      </c>
      <c r="C35" s="9">
        <v>0</v>
      </c>
      <c r="D35" s="36" t="s">
        <v>3</v>
      </c>
      <c r="E35" s="1"/>
    </row>
    <row r="36" spans="1:5" x14ac:dyDescent="0.25">
      <c r="A36" s="1"/>
      <c r="B36" s="108"/>
      <c r="C36" s="109"/>
      <c r="D36" s="110"/>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x14ac:dyDescent="0.25"/>
  </sheetData>
  <sheetProtection algorithmName="SHA-512" hashValue="LStWhSahbkZ3VXTHzKsAGKNKafpxGVrC4jBMc1pmIL46KnJ79UN/DehBA60PoNWs5mC72YpXxRac9qi3zwch+Q==" saltValue="P+GlHUWdgAxolgn1keY2Uw==" spinCount="100000" sheet="1" objects="1" scenarios="1"/>
  <mergeCells count="6">
    <mergeCell ref="B36:D36"/>
    <mergeCell ref="B3:D4"/>
    <mergeCell ref="B8:D8"/>
    <mergeCell ref="B23:D23"/>
    <mergeCell ref="B31:D31"/>
    <mergeCell ref="B28:D28"/>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201</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77</v>
      </c>
      <c r="C8" s="109"/>
      <c r="D8" s="110"/>
      <c r="E8" s="1"/>
    </row>
    <row r="9" spans="1:5" x14ac:dyDescent="0.25">
      <c r="A9" s="1"/>
      <c r="B9" s="65" t="s">
        <v>204</v>
      </c>
      <c r="C9" s="9">
        <v>3757843.7755519748</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-455400.38231760263</v>
      </c>
      <c r="D14" s="14" t="s">
        <v>3</v>
      </c>
      <c r="E14" s="1"/>
    </row>
    <row r="15" spans="1:5" x14ac:dyDescent="0.25">
      <c r="A15" s="1"/>
      <c r="B15" s="65" t="s">
        <v>203</v>
      </c>
      <c r="C15" s="9">
        <v>-455400.38231760263</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6" t="s">
        <v>205</v>
      </c>
      <c r="C19" s="77"/>
      <c r="D19" s="78"/>
      <c r="E19" s="1"/>
    </row>
    <row r="20" spans="1:5" x14ac:dyDescent="0.25">
      <c r="A20" s="1"/>
      <c r="B20" s="65" t="s">
        <v>206</v>
      </c>
      <c r="C20" s="9">
        <v>356956280.47053492</v>
      </c>
      <c r="D20" s="14" t="s">
        <v>3</v>
      </c>
      <c r="E20" s="1"/>
    </row>
    <row r="21" spans="1:5" x14ac:dyDescent="0.25">
      <c r="A21" s="1"/>
      <c r="B21" s="65" t="s">
        <v>207</v>
      </c>
      <c r="C21" s="9">
        <v>365439550</v>
      </c>
      <c r="D21" s="14" t="s">
        <v>3</v>
      </c>
      <c r="E21" s="1"/>
    </row>
    <row r="22" spans="1:5" x14ac:dyDescent="0.25">
      <c r="A22" s="1"/>
      <c r="B22" s="65" t="s">
        <v>29</v>
      </c>
      <c r="C22" s="9">
        <v>0</v>
      </c>
      <c r="D22" s="14" t="s">
        <v>3</v>
      </c>
      <c r="E22" s="1"/>
    </row>
    <row r="23" spans="1:5" x14ac:dyDescent="0.25">
      <c r="A23" s="1"/>
      <c r="B23" s="82" t="s">
        <v>208</v>
      </c>
      <c r="C23" s="57">
        <f>C20-C21-C22</f>
        <v>-8483269.5294650793</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2" t="s">
        <v>210</v>
      </c>
      <c r="C27" s="57">
        <f>IF(AND(C15&lt;0,C23&gt;0,ABS(SUM(C14:C15))&lt;C23),ABS(C14),IF(AND(C15&lt;0,C23&gt;0,ABS(SUM(C14:C15))&gt;C23),SUM(C14,C23),C15))</f>
        <v>-455400.38231760263</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-4725425.7539131045</v>
      </c>
      <c r="D31" s="14" t="s">
        <v>3</v>
      </c>
      <c r="E31" s="1"/>
    </row>
    <row r="32" spans="1:5" x14ac:dyDescent="0.25">
      <c r="A32" s="1"/>
      <c r="B32" s="66" t="s">
        <v>49</v>
      </c>
      <c r="C32" s="9">
        <v>2</v>
      </c>
      <c r="D32" s="14" t="s">
        <v>20</v>
      </c>
      <c r="E32" s="1"/>
    </row>
    <row r="33" spans="1:5" x14ac:dyDescent="0.25">
      <c r="A33" s="1"/>
      <c r="B33" s="67" t="s">
        <v>70</v>
      </c>
      <c r="C33" s="57">
        <f>C31/C32</f>
        <v>-2362712.8769565523</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3mYaak9XDcDh1k6e9sWX+Wf68xN4twyYXLlyXcc4i+e+dOVkOyzj0UBXRA2G6im6R6rOAqh8szyNgQFeiTOJ4w==" saltValue="3wqyvJfkyKtZe8hH5MCMcA=="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6" t="s">
        <v>101</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6"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sRpDvfoglan1ni0zuDw5aDrueXVh3d0+AJ48RKxL58KxXimD6mjuW92Hf4TpyBKMbEAlnVhcRYHPSpyzBnyOAg==" saltValue="pkHdGzctp7Y96WOFrGP7vg=="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170</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9" t="s">
        <v>215</v>
      </c>
      <c r="C9" s="7"/>
      <c r="D9" s="8" t="s">
        <v>3</v>
      </c>
      <c r="E9" s="1"/>
    </row>
    <row r="10" spans="1:5" ht="14.25" customHeight="1" x14ac:dyDescent="0.25">
      <c r="A10" s="1"/>
      <c r="B10" s="65" t="s">
        <v>172</v>
      </c>
      <c r="C10" s="7"/>
      <c r="D10" s="8" t="s">
        <v>3</v>
      </c>
      <c r="E10" s="1"/>
    </row>
    <row r="11" spans="1:5" ht="14.25" customHeight="1" x14ac:dyDescent="0.25">
      <c r="A11" s="1"/>
      <c r="B11" s="82" t="s">
        <v>48</v>
      </c>
      <c r="C11" s="10">
        <f>C10-C9</f>
        <v>0</v>
      </c>
      <c r="D11" s="11" t="s">
        <v>3</v>
      </c>
      <c r="E11" s="1"/>
    </row>
    <row r="12" spans="1:5" ht="14.25" customHeight="1" x14ac:dyDescent="0.25">
      <c r="A12" s="1"/>
      <c r="B12" s="108" t="s">
        <v>217</v>
      </c>
      <c r="C12" s="109"/>
      <c r="D12" s="110"/>
      <c r="E12" s="1"/>
    </row>
    <row r="13" spans="1:5" ht="26.25" x14ac:dyDescent="0.25">
      <c r="A13" s="1"/>
      <c r="B13" s="79" t="s">
        <v>216</v>
      </c>
      <c r="C13" s="7">
        <v>0</v>
      </c>
      <c r="D13" s="8" t="s">
        <v>3</v>
      </c>
      <c r="E13" s="1"/>
    </row>
    <row r="14" spans="1:5" ht="14.25" customHeight="1" x14ac:dyDescent="0.25">
      <c r="A14" s="1"/>
      <c r="B14" s="65" t="s">
        <v>173</v>
      </c>
      <c r="C14" s="7">
        <v>279528</v>
      </c>
      <c r="D14" s="8" t="s">
        <v>3</v>
      </c>
      <c r="E14" s="1"/>
    </row>
    <row r="15" spans="1:5" ht="14.25" customHeight="1" x14ac:dyDescent="0.25">
      <c r="A15" s="1"/>
      <c r="B15" s="82" t="s">
        <v>48</v>
      </c>
      <c r="C15" s="10">
        <f>C14-C13</f>
        <v>279528</v>
      </c>
      <c r="D15" s="11" t="s">
        <v>3</v>
      </c>
      <c r="E15" s="1"/>
    </row>
    <row r="16" spans="1:5" ht="14.25" customHeight="1" x14ac:dyDescent="0.25">
      <c r="A16" s="1"/>
      <c r="B16" s="33" t="s">
        <v>174</v>
      </c>
      <c r="C16" s="12">
        <f>C11+C15</f>
        <v>279528</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dqE8Hpv1skaTT3xkfJD9Y5RUrPr6hDc3VbTQj9e+9yUT2Ha97z/XHcgkyatp8HRre8K23MiksOA7OfpeOdPXDg==" saltValue="7KGHkb2ymNdg+UNDsNdV/Q=="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6" t="s">
        <v>219</v>
      </c>
      <c r="C11" s="77"/>
      <c r="D11" s="78"/>
      <c r="E11" s="78"/>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8SWvvrIIOBd9l1Q2V2tMWVVCnQH9T6CM4ot3bS3zBOapincu4W2pVGxk84mC6CyzpExNAHUknNb6W9UpWjc/UA==" saltValue="mP36BZYEP8OOkwqrkmhYSg=="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62"/>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0" t="s">
        <v>17</v>
      </c>
      <c r="C9" s="82" t="s">
        <v>11</v>
      </c>
      <c r="D9" s="81"/>
      <c r="E9" s="82"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233</v>
      </c>
      <c r="C11" s="21">
        <v>1007546</v>
      </c>
      <c r="D11" s="14" t="s">
        <v>3</v>
      </c>
      <c r="E11" s="9">
        <v>0</v>
      </c>
      <c r="F11" s="14" t="s">
        <v>3</v>
      </c>
      <c r="G11" s="1"/>
    </row>
    <row r="12" spans="1:7" x14ac:dyDescent="0.25">
      <c r="A12" s="1"/>
      <c r="B12" s="24" t="s">
        <v>234</v>
      </c>
      <c r="C12" s="21">
        <v>0</v>
      </c>
      <c r="D12" s="14" t="s">
        <v>3</v>
      </c>
      <c r="E12" s="9">
        <v>142223</v>
      </c>
      <c r="F12" s="14" t="s">
        <v>3</v>
      </c>
      <c r="G12" s="1"/>
    </row>
    <row r="13" spans="1:7" x14ac:dyDescent="0.25">
      <c r="A13" s="1"/>
      <c r="B13" s="24" t="s">
        <v>235</v>
      </c>
      <c r="C13" s="21">
        <v>0</v>
      </c>
      <c r="D13" s="14" t="s">
        <v>3</v>
      </c>
      <c r="E13" s="9">
        <v>262890</v>
      </c>
      <c r="F13" s="14" t="s">
        <v>3</v>
      </c>
      <c r="G13" s="1"/>
    </row>
    <row r="14" spans="1:7" x14ac:dyDescent="0.25">
      <c r="A14" s="1"/>
      <c r="B14" s="24" t="s">
        <v>236</v>
      </c>
      <c r="C14" s="21">
        <v>0</v>
      </c>
      <c r="D14" s="14" t="s">
        <v>3</v>
      </c>
      <c r="E14" s="9">
        <v>632150</v>
      </c>
      <c r="F14" s="14" t="s">
        <v>3</v>
      </c>
      <c r="G14" s="1"/>
    </row>
    <row r="15" spans="1:7" x14ac:dyDescent="0.25">
      <c r="A15" s="1"/>
      <c r="B15" s="24" t="s">
        <v>237</v>
      </c>
      <c r="C15" s="21">
        <v>0</v>
      </c>
      <c r="D15" s="14" t="s">
        <v>3</v>
      </c>
      <c r="E15" s="9">
        <v>68714</v>
      </c>
      <c r="F15" s="14" t="s">
        <v>3</v>
      </c>
      <c r="G15" s="1"/>
    </row>
    <row r="16" spans="1:7" ht="26.25" x14ac:dyDescent="0.25">
      <c r="A16" s="1"/>
      <c r="B16" s="70" t="s">
        <v>238</v>
      </c>
      <c r="C16" s="21">
        <v>0</v>
      </c>
      <c r="D16" s="14" t="s">
        <v>3</v>
      </c>
      <c r="E16" s="9">
        <v>0</v>
      </c>
      <c r="F16" s="14" t="s">
        <v>3</v>
      </c>
      <c r="G16" s="1"/>
    </row>
    <row r="17" spans="1:7" x14ac:dyDescent="0.25">
      <c r="A17" s="1"/>
      <c r="B17" s="24" t="s">
        <v>239</v>
      </c>
      <c r="C17" s="21">
        <v>0</v>
      </c>
      <c r="D17" s="14" t="s">
        <v>3</v>
      </c>
      <c r="E17" s="9">
        <v>16479</v>
      </c>
      <c r="F17" s="14" t="s">
        <v>3</v>
      </c>
      <c r="G17" s="1"/>
    </row>
    <row r="18" spans="1:7" x14ac:dyDescent="0.25">
      <c r="A18" s="1"/>
      <c r="B18" s="24" t="s">
        <v>240</v>
      </c>
      <c r="C18" s="21">
        <v>0</v>
      </c>
      <c r="D18" s="14" t="s">
        <v>3</v>
      </c>
      <c r="E18" s="9">
        <v>149685</v>
      </c>
      <c r="F18" s="14" t="s">
        <v>3</v>
      </c>
      <c r="G18" s="1"/>
    </row>
    <row r="19" spans="1:7" x14ac:dyDescent="0.25">
      <c r="A19" s="1"/>
      <c r="B19" s="24" t="s">
        <v>241</v>
      </c>
      <c r="C19" s="21">
        <v>0</v>
      </c>
      <c r="D19" s="14" t="s">
        <v>3</v>
      </c>
      <c r="E19" s="9">
        <v>57834</v>
      </c>
      <c r="F19" s="14" t="s">
        <v>3</v>
      </c>
      <c r="G19" s="1"/>
    </row>
    <row r="20" spans="1:7" x14ac:dyDescent="0.25">
      <c r="A20" s="1"/>
      <c r="B20" s="24" t="s">
        <v>242</v>
      </c>
      <c r="C20" s="21">
        <v>0</v>
      </c>
      <c r="D20" s="14" t="s">
        <v>3</v>
      </c>
      <c r="E20" s="9">
        <v>45886</v>
      </c>
      <c r="F20" s="14" t="s">
        <v>3</v>
      </c>
      <c r="G20" s="1"/>
    </row>
    <row r="21" spans="1:7" x14ac:dyDescent="0.25">
      <c r="A21" s="1"/>
      <c r="B21" s="24" t="s">
        <v>243</v>
      </c>
      <c r="C21" s="21">
        <v>0</v>
      </c>
      <c r="D21" s="14" t="s">
        <v>3</v>
      </c>
      <c r="E21" s="9">
        <v>179893</v>
      </c>
      <c r="F21" s="14" t="s">
        <v>3</v>
      </c>
      <c r="G21" s="1"/>
    </row>
    <row r="22" spans="1:7" x14ac:dyDescent="0.25">
      <c r="A22" s="1"/>
      <c r="B22" s="24" t="s">
        <v>244</v>
      </c>
      <c r="C22" s="21">
        <v>0</v>
      </c>
      <c r="D22" s="14" t="s">
        <v>3</v>
      </c>
      <c r="E22" s="9">
        <v>186576</v>
      </c>
      <c r="F22" s="14" t="s">
        <v>3</v>
      </c>
      <c r="G22" s="1"/>
    </row>
    <row r="23" spans="1:7" x14ac:dyDescent="0.25">
      <c r="A23" s="1"/>
      <c r="B23" s="24" t="s">
        <v>245</v>
      </c>
      <c r="C23" s="21">
        <v>0</v>
      </c>
      <c r="D23" s="14" t="s">
        <v>3</v>
      </c>
      <c r="E23" s="9">
        <v>35586</v>
      </c>
      <c r="F23" s="14" t="s">
        <v>3</v>
      </c>
      <c r="G23" s="1"/>
    </row>
    <row r="24" spans="1:7" x14ac:dyDescent="0.25">
      <c r="A24" s="1"/>
      <c r="B24" s="24" t="s">
        <v>246</v>
      </c>
      <c r="C24" s="21">
        <v>0</v>
      </c>
      <c r="D24" s="14" t="s">
        <v>3</v>
      </c>
      <c r="E24" s="9">
        <v>104676</v>
      </c>
      <c r="F24" s="14" t="s">
        <v>3</v>
      </c>
      <c r="G24" s="1"/>
    </row>
    <row r="25" spans="1:7" x14ac:dyDescent="0.25">
      <c r="A25" s="1"/>
      <c r="B25" s="24" t="s">
        <v>247</v>
      </c>
      <c r="C25" s="21">
        <v>0</v>
      </c>
      <c r="D25" s="14" t="s">
        <v>3</v>
      </c>
      <c r="E25" s="9">
        <v>77001</v>
      </c>
      <c r="F25" s="14" t="s">
        <v>3</v>
      </c>
      <c r="G25" s="1"/>
    </row>
    <row r="26" spans="1:7" x14ac:dyDescent="0.25">
      <c r="A26" s="1"/>
      <c r="B26" s="24" t="s">
        <v>248</v>
      </c>
      <c r="C26" s="21">
        <v>0</v>
      </c>
      <c r="D26" s="14" t="s">
        <v>3</v>
      </c>
      <c r="E26" s="9">
        <v>155890</v>
      </c>
      <c r="F26" s="14" t="s">
        <v>3</v>
      </c>
      <c r="G26" s="1"/>
    </row>
    <row r="27" spans="1:7" x14ac:dyDescent="0.25">
      <c r="A27" s="1"/>
      <c r="B27" s="24" t="s">
        <v>249</v>
      </c>
      <c r="C27" s="21">
        <v>0</v>
      </c>
      <c r="D27" s="14" t="s">
        <v>3</v>
      </c>
      <c r="E27" s="9">
        <v>37926</v>
      </c>
      <c r="F27" s="14" t="s">
        <v>3</v>
      </c>
      <c r="G27" s="1"/>
    </row>
    <row r="28" spans="1:7" x14ac:dyDescent="0.25">
      <c r="A28" s="1"/>
      <c r="B28" s="24" t="s">
        <v>250</v>
      </c>
      <c r="C28" s="21">
        <v>0</v>
      </c>
      <c r="D28" s="14" t="s">
        <v>3</v>
      </c>
      <c r="E28" s="9">
        <v>71868</v>
      </c>
      <c r="F28" s="14" t="s">
        <v>3</v>
      </c>
      <c r="G28" s="1"/>
    </row>
    <row r="29" spans="1:7" x14ac:dyDescent="0.25">
      <c r="A29" s="1"/>
      <c r="B29" s="24" t="s">
        <v>251</v>
      </c>
      <c r="C29" s="21">
        <v>0</v>
      </c>
      <c r="D29" s="14" t="s">
        <v>3</v>
      </c>
      <c r="E29" s="9">
        <v>398097</v>
      </c>
      <c r="F29" s="14" t="s">
        <v>3</v>
      </c>
      <c r="G29" s="1"/>
    </row>
    <row r="30" spans="1:7" x14ac:dyDescent="0.25">
      <c r="A30" s="1"/>
      <c r="B30" s="24"/>
      <c r="C30" s="21"/>
      <c r="D30" s="14" t="s">
        <v>3</v>
      </c>
      <c r="E30" s="9"/>
      <c r="F30" s="14" t="s">
        <v>3</v>
      </c>
      <c r="G30" s="1"/>
    </row>
    <row r="31" spans="1:7" x14ac:dyDescent="0.25">
      <c r="A31" s="1"/>
      <c r="B31" s="33" t="s">
        <v>139</v>
      </c>
      <c r="C31" s="12">
        <f>SUM(C10:C30)</f>
        <v>1007546</v>
      </c>
      <c r="D31" s="13" t="s">
        <v>3</v>
      </c>
      <c r="E31" s="12">
        <f>SUM(E10:E30)</f>
        <v>2623374</v>
      </c>
      <c r="F31" s="13" t="s">
        <v>3</v>
      </c>
      <c r="G31" s="1"/>
    </row>
    <row r="32" spans="1:7" x14ac:dyDescent="0.25">
      <c r="A32" s="1"/>
      <c r="B32" s="33" t="s">
        <v>175</v>
      </c>
      <c r="C32" s="12">
        <f>C31*(1+'Fane 15. Nøgletal'!C10)</f>
        <v>1074346.2997999999</v>
      </c>
      <c r="D32" s="13" t="s">
        <v>3</v>
      </c>
      <c r="E32" s="12">
        <f>E31*(1+'Fane 15. Nøgletal'!C10)</f>
        <v>2797303.6962000001</v>
      </c>
      <c r="F32" s="13" t="s">
        <v>3</v>
      </c>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row r="58" spans="1:7" x14ac:dyDescent="0.25">
      <c r="A58" s="1"/>
      <c r="B58" s="1"/>
      <c r="C58" s="1"/>
      <c r="D58" s="1"/>
      <c r="E58" s="1"/>
      <c r="F58" s="1"/>
      <c r="G58" s="1"/>
    </row>
    <row r="59" spans="1:7" x14ac:dyDescent="0.25">
      <c r="A59" s="1"/>
      <c r="B59" s="1"/>
      <c r="C59" s="1"/>
      <c r="D59" s="1"/>
      <c r="E59" s="1"/>
      <c r="F59" s="1"/>
      <c r="G59" s="1"/>
    </row>
    <row r="60" spans="1:7" x14ac:dyDescent="0.25">
      <c r="A60" s="1"/>
      <c r="B60" s="1"/>
      <c r="C60" s="1"/>
      <c r="D60" s="1"/>
      <c r="E60" s="1"/>
      <c r="F60" s="1"/>
      <c r="G60" s="1"/>
    </row>
    <row r="61" spans="1:7" x14ac:dyDescent="0.25">
      <c r="A61" s="1"/>
      <c r="B61" s="1"/>
      <c r="C61" s="1"/>
      <c r="D61" s="1"/>
      <c r="E61" s="1"/>
      <c r="F61" s="1"/>
      <c r="G61" s="1"/>
    </row>
    <row r="62" spans="1:7" x14ac:dyDescent="0.25"/>
  </sheetData>
  <sheetProtection algorithmName="SHA-512" hashValue="rVoNufTvyFiAF9rl2fTBhDpUPVgC360YFrkVJxCmWrsoLJjpki1ND1AZiTzQ+1Tb1yJ3xUnzhAwDS6yGbRexQw==" saltValue="MZaIh0Z752v98zn7i+EBo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80" t="s">
        <v>17</v>
      </c>
      <c r="C9" s="82" t="s">
        <v>11</v>
      </c>
      <c r="D9" s="81"/>
      <c r="E9" s="82" t="s">
        <v>27</v>
      </c>
      <c r="F9" s="32"/>
      <c r="G9" s="1"/>
    </row>
    <row r="10" spans="1:7" x14ac:dyDescent="0.25">
      <c r="A10" s="1"/>
      <c r="B10" s="70" t="s">
        <v>232</v>
      </c>
      <c r="C10" s="21">
        <v>935179</v>
      </c>
      <c r="D10" s="14" t="s">
        <v>3</v>
      </c>
      <c r="E10" s="9">
        <v>0</v>
      </c>
      <c r="F10" s="14" t="s">
        <v>3</v>
      </c>
      <c r="G10" s="1"/>
    </row>
    <row r="11" spans="1:7" ht="26.25" x14ac:dyDescent="0.25">
      <c r="A11" s="1"/>
      <c r="B11" s="70" t="s">
        <v>238</v>
      </c>
      <c r="C11" s="21">
        <v>3380396</v>
      </c>
      <c r="D11" s="14" t="s">
        <v>3</v>
      </c>
      <c r="E11" s="9">
        <v>0</v>
      </c>
      <c r="F11" s="14" t="s">
        <v>3</v>
      </c>
      <c r="G11" s="1"/>
    </row>
    <row r="12" spans="1:7" x14ac:dyDescent="0.25">
      <c r="A12" s="1"/>
      <c r="B12" s="24"/>
      <c r="C12" s="21"/>
      <c r="D12" s="14" t="s">
        <v>3</v>
      </c>
      <c r="E12" s="9"/>
      <c r="F12" s="14" t="s">
        <v>3</v>
      </c>
      <c r="G12" s="1"/>
    </row>
    <row r="13" spans="1:7" x14ac:dyDescent="0.25">
      <c r="A13" s="1"/>
      <c r="B13" s="33" t="s">
        <v>177</v>
      </c>
      <c r="C13" s="12">
        <f>SUM(C10:C12)</f>
        <v>4315575</v>
      </c>
      <c r="D13" s="13" t="s">
        <v>3</v>
      </c>
      <c r="E13" s="12">
        <f>SUM(E10:E12)</f>
        <v>0</v>
      </c>
      <c r="F13" s="13" t="s">
        <v>3</v>
      </c>
      <c r="G13" s="1"/>
    </row>
    <row r="14" spans="1:7" x14ac:dyDescent="0.25">
      <c r="A14" s="1"/>
      <c r="B14" s="33" t="s">
        <v>178</v>
      </c>
      <c r="C14" s="12">
        <f>C13*(1+'Fane 15. Nøgletal'!C10)^2</f>
        <v>4906790.1748717502</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g07oj08CeAZw0oMykkKsf89GM3b3WO5YimdayWc4TlWaiofyQvYja+9LBigJSnKF+flJxs2CktjNkNbDVAq7Qg==" saltValue="AT8lChZSrIWL/LpsVopqfA=="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116</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6"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6"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6"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6"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6rD1wr+r9pCIO6guMuZB7mhBufLMm2nQwzHQyPinll9PXtcYiAAuG7B7OT449BRVrhZLI4tIFrMOH0aHWysazg==" saltValue="YQBfsA1cBxBhkMMO1Ily+g=="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117</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9XOLm6JLM5hT+Ds209XNIxHLT2KS4Pe1zIQq9sTJ2MuSffkbgqNFpwB+rZl62AY5UgUr3V2CAF5I3RDXqWLjgw==" saltValue="ETcVgSQNqKmStY/dgWhGow=="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118</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363vTM5rxJhBgoiybJqkquvtUQ5NxUOzXBAbgakb/s3WlIaCPqGNPYNj2Mr2ewR4pr04A0n90iygba6urABHUA==" saltValue="1V5ujvsSyDPQDaiKBV6Ypg=="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382583850.39105767</v>
      </c>
      <c r="D9" s="8" t="s">
        <v>3</v>
      </c>
      <c r="E9" s="1"/>
    </row>
    <row r="10" spans="1:5" ht="17.25" customHeight="1" x14ac:dyDescent="0.25">
      <c r="A10" s="1"/>
      <c r="B10" s="64" t="s">
        <v>35</v>
      </c>
      <c r="C10" s="7">
        <f>'Fane 11.1. Varige tillæg'!C32</f>
        <v>1074346.2997999999</v>
      </c>
      <c r="D10" s="8" t="s">
        <v>3</v>
      </c>
      <c r="E10" s="1"/>
    </row>
    <row r="11" spans="1:5" ht="17.25" customHeight="1" x14ac:dyDescent="0.25">
      <c r="A11" s="1"/>
      <c r="B11" s="64" t="s">
        <v>36</v>
      </c>
      <c r="C11" s="9">
        <f>'Fane 11.1. Varige tillæg'!E32</f>
        <v>2797303.6962000001</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31169465.50633226</v>
      </c>
      <c r="D16" s="8" t="s">
        <v>3</v>
      </c>
      <c r="E16" s="1"/>
    </row>
    <row r="17" spans="1:5" ht="17.25" customHeight="1" x14ac:dyDescent="0.25">
      <c r="A17" s="1"/>
      <c r="B17" s="64" t="s">
        <v>10</v>
      </c>
      <c r="C17" s="38">
        <f>-SUM(C9,C10:C16)*'Fane 5. Individuelt eff. krav'!C9</f>
        <v>-198407.80518583272</v>
      </c>
      <c r="D17" s="8" t="s">
        <v>3</v>
      </c>
      <c r="E17" s="1"/>
    </row>
    <row r="18" spans="1:5" ht="17.25" customHeight="1" x14ac:dyDescent="0.25">
      <c r="A18" s="1"/>
      <c r="B18" s="64" t="s">
        <v>22</v>
      </c>
      <c r="C18" s="38">
        <f>-'Fane 4.1. Gen. krav - drift'!C17</f>
        <v>-2706172.3071447187</v>
      </c>
      <c r="D18" s="8" t="s">
        <v>3</v>
      </c>
      <c r="E18" s="1"/>
    </row>
    <row r="19" spans="1:5" ht="17.25" customHeight="1" x14ac:dyDescent="0.25">
      <c r="A19" s="1"/>
      <c r="B19" s="64" t="s">
        <v>23</v>
      </c>
      <c r="C19" s="38">
        <f>-'Fane 4.2. Gen. krav - anlæg'!C17</f>
        <v>0</v>
      </c>
      <c r="D19" s="8" t="s">
        <v>3</v>
      </c>
      <c r="E19" s="43"/>
    </row>
    <row r="20" spans="1:5" ht="17.25" customHeight="1" x14ac:dyDescent="0.25">
      <c r="A20" s="1"/>
      <c r="B20" s="82" t="s">
        <v>21</v>
      </c>
      <c r="C20" s="10">
        <f>SUM(C9:C19)</f>
        <v>414720385.78105938</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omk.'!C20+'Fane 6. Ikke-påvirkelige omk.'!C24+'Fane 6. Ikke-påvirkelige omk.'!C32</f>
        <v>10620953.03024267</v>
      </c>
      <c r="D22" s="11" t="s">
        <v>3</v>
      </c>
      <c r="E22" s="1"/>
    </row>
    <row r="23" spans="1:5" ht="15" customHeight="1" x14ac:dyDescent="0.25">
      <c r="A23" s="1"/>
      <c r="B23" s="33" t="s">
        <v>42</v>
      </c>
      <c r="C23" s="28"/>
      <c r="D23" s="19"/>
      <c r="E23" s="1"/>
    </row>
    <row r="24" spans="1:5" ht="15" customHeight="1" x14ac:dyDescent="0.25">
      <c r="A24" s="1"/>
      <c r="B24" s="82"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4906790.1748717502</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-100466.9511744449</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4806323.2236973057</v>
      </c>
      <c r="D30" s="11" t="s">
        <v>3</v>
      </c>
      <c r="E30" s="1"/>
    </row>
    <row r="31" spans="1:5" x14ac:dyDescent="0.25">
      <c r="A31" s="1"/>
      <c r="B31" s="33" t="s">
        <v>69</v>
      </c>
      <c r="C31" s="28"/>
      <c r="D31" s="19"/>
      <c r="E31" s="1"/>
    </row>
    <row r="32" spans="1:5" x14ac:dyDescent="0.25">
      <c r="A32" s="1"/>
      <c r="B32" s="31" t="s">
        <v>79</v>
      </c>
      <c r="C32" s="62">
        <f>'Fane 7. Kontrol af ØR2023'!C27</f>
        <v>-455400.38231760263</v>
      </c>
      <c r="D32" s="11" t="s">
        <v>3</v>
      </c>
      <c r="E32" s="1"/>
    </row>
    <row r="33" spans="1:5" ht="15" customHeight="1" x14ac:dyDescent="0.25">
      <c r="A33" s="1"/>
      <c r="B33" s="33" t="s">
        <v>154</v>
      </c>
      <c r="C33" s="28"/>
      <c r="D33" s="19"/>
      <c r="E33" s="1"/>
    </row>
    <row r="34" spans="1:5" x14ac:dyDescent="0.25">
      <c r="A34" s="1"/>
      <c r="B34" s="31" t="s">
        <v>154</v>
      </c>
      <c r="C34" s="10">
        <f>'Fane 9. Korrektion af ØR2023'!C16</f>
        <v>279528</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429971789.65268177</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Y8GCDrqmAQq/eYgs1TSW6nGyCdNbZFg6Rv9gubgEut+9h513q8E+fe1fMx5NyMfiJFRGBmO64XuuLoKj3grZRg==" saltValue="Lhgfi/Kqeq0+VcrEo6oHn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6" t="s">
        <v>119</v>
      </c>
      <c r="C3" s="106"/>
      <c r="D3" s="1"/>
    </row>
    <row r="4" spans="1:4" ht="15" customHeight="1" x14ac:dyDescent="0.25">
      <c r="A4" s="1"/>
      <c r="B4" s="106"/>
      <c r="C4" s="10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y4nHUJeDLo34EFAHmzZe+Iltr3azqHzywTbokmiih4JI80mM/bqGYx0W3lAeTmbVG46XWOtgGKPPpO0LjQUc1g==" saltValue="M1PT6rMfOgHUr2L7aWsFZg=="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414720385.78105938</v>
      </c>
      <c r="D9" s="8" t="s">
        <v>3</v>
      </c>
      <c r="E9" s="1"/>
    </row>
    <row r="10" spans="1:5" ht="15" customHeight="1" x14ac:dyDescent="0.25">
      <c r="A10" s="1"/>
      <c r="B10" s="26" t="s">
        <v>19</v>
      </c>
      <c r="C10" s="7">
        <f>C9*'Fane 15. Nøgletal'!C10</f>
        <v>27495961.577284236</v>
      </c>
      <c r="D10" s="8" t="s">
        <v>3</v>
      </c>
      <c r="E10" s="1"/>
    </row>
    <row r="11" spans="1:5" ht="15" customHeight="1" x14ac:dyDescent="0.25">
      <c r="A11" s="1"/>
      <c r="B11" s="26" t="s">
        <v>10</v>
      </c>
      <c r="C11" s="9">
        <f>-SUM(C9:C10)*'Fane 5. Individuelt eff. krav'!C9</f>
        <v>-210090.82804465902</v>
      </c>
      <c r="D11" s="8" t="s">
        <v>3</v>
      </c>
      <c r="E11" s="1"/>
    </row>
    <row r="12" spans="1:5" ht="15" customHeight="1" x14ac:dyDescent="0.25">
      <c r="A12" s="1"/>
      <c r="B12" s="26" t="s">
        <v>22</v>
      </c>
      <c r="C12" s="9">
        <f>-'Fane 4.1. Gen. krav - drift'!C22</f>
        <v>-2827879.700486246</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439178376.82981271</v>
      </c>
      <c r="D14" s="11" t="s">
        <v>3</v>
      </c>
      <c r="E14" s="1"/>
    </row>
    <row r="15" spans="1:5" x14ac:dyDescent="0.25">
      <c r="A15" s="1"/>
      <c r="B15" s="33" t="s">
        <v>12</v>
      </c>
      <c r="C15" s="28"/>
      <c r="D15" s="19"/>
      <c r="E15" s="1"/>
    </row>
    <row r="16" spans="1:5" ht="15" customHeight="1" x14ac:dyDescent="0.25">
      <c r="A16" s="1"/>
      <c r="B16" s="31" t="s">
        <v>12</v>
      </c>
      <c r="C16" s="10">
        <f>'Fane 6. Ikke-påvirkelige omk.'!C20*(1+'Fane 15. Nøgletal'!C10)+'Fane 6. Ikke-påvirkelige omk.'!C25+'Fane 6. Ikke-påvirkelige omk.'!C33</f>
        <v>11325122.21614776</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-2362712.8769565523</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448140786.16900396</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x1Z3e25iDHvi9ADYIojc0/o9u90pqlpoMFkoTEgmQgq4bPGtLt5geN+ASH/imJ3BV110a65b5cOzUmqSPQWulg==" saltValue="onIYWp52hEi8rO9BiXKxL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439178376.82981271</v>
      </c>
      <c r="D9" s="8" t="s">
        <v>3</v>
      </c>
      <c r="E9" s="1"/>
    </row>
    <row r="10" spans="1:5" ht="15" customHeight="1" x14ac:dyDescent="0.25">
      <c r="A10" s="1"/>
      <c r="B10" s="26" t="s">
        <v>19</v>
      </c>
      <c r="C10" s="7">
        <f>SUM(C9:C9)*'Fane 15. Nøgletal'!C10</f>
        <v>29117526.383816581</v>
      </c>
      <c r="D10" s="8" t="s">
        <v>3</v>
      </c>
      <c r="E10" s="1"/>
    </row>
    <row r="11" spans="1:5" ht="15" customHeight="1" x14ac:dyDescent="0.25">
      <c r="A11" s="1"/>
      <c r="B11" s="26" t="s">
        <v>10</v>
      </c>
      <c r="C11" s="9">
        <f>-SUM(C9:C10)*'Fane 5. Individuelt eff. krav'!C9</f>
        <v>-222480.86183107176</v>
      </c>
      <c r="D11" s="8" t="s">
        <v>3</v>
      </c>
      <c r="E11" s="1"/>
    </row>
    <row r="12" spans="1:5" ht="15" customHeight="1" x14ac:dyDescent="0.25">
      <c r="A12" s="1"/>
      <c r="B12" s="26" t="s">
        <v>22</v>
      </c>
      <c r="C12" s="9">
        <f>-'Fane 4.1. Gen. krav - drift'!C27</f>
        <v>-2955060.7621359145</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465118361.58966231</v>
      </c>
      <c r="D14" s="11" t="s">
        <v>3</v>
      </c>
      <c r="E14" s="1"/>
    </row>
    <row r="15" spans="1:5" x14ac:dyDescent="0.25">
      <c r="A15" s="1"/>
      <c r="B15" s="33" t="s">
        <v>12</v>
      </c>
      <c r="C15" s="28"/>
      <c r="D15" s="19"/>
      <c r="E15" s="1"/>
    </row>
    <row r="16" spans="1:5" ht="15" customHeight="1" x14ac:dyDescent="0.25">
      <c r="A16" s="1"/>
      <c r="B16" s="31" t="s">
        <v>12</v>
      </c>
      <c r="C16" s="10">
        <f>'Fane 6. Ikke-påvirkelige omk.'!C20*(1+'Fane 15. Nøgletal'!C10)^2+'Fane 6. Ikke-påvirkelige omk.'!C26+'Fane 6. Ikke-påvirkelige omk.'!C34</f>
        <v>12075977.819078356</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-2362712.8769565523</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474831626.53178406</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jsxadbFN+t+a36wNaJVpVAtuO094wOU32SgS+UGDa9wLVDxqFt3wOFx3UFzqFuIMtjlONzzaQr5jA7KNHBDNIA==" saltValue="piogdO7rMoXG0VVjYiZ8q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465118361.58966231</v>
      </c>
      <c r="D9" s="8" t="s">
        <v>3</v>
      </c>
      <c r="E9" s="1"/>
    </row>
    <row r="10" spans="1:5" ht="15" customHeight="1" x14ac:dyDescent="0.25">
      <c r="A10" s="1"/>
      <c r="B10" s="26" t="s">
        <v>19</v>
      </c>
      <c r="C10" s="7">
        <f>SUM(C9:C9)*'Fane 15. Nøgletal'!C10</f>
        <v>30837347.373394612</v>
      </c>
      <c r="D10" s="8" t="s">
        <v>3</v>
      </c>
      <c r="E10" s="1"/>
    </row>
    <row r="11" spans="1:5" ht="15" customHeight="1" x14ac:dyDescent="0.25">
      <c r="A11" s="1"/>
      <c r="B11" s="26" t="s">
        <v>10</v>
      </c>
      <c r="C11" s="9">
        <f>-SUM(C9:C10)*'Fane 5. Individuelt eff. krav'!C9</f>
        <v>-235621.65033462914</v>
      </c>
      <c r="D11" s="8" t="s">
        <v>3</v>
      </c>
      <c r="E11" s="1"/>
    </row>
    <row r="12" spans="1:5" ht="15" customHeight="1" x14ac:dyDescent="0.25">
      <c r="A12" s="1"/>
      <c r="B12" s="26" t="s">
        <v>22</v>
      </c>
      <c r="C12" s="9">
        <f>-'Fane 4.1. Gen. krav - drift'!C32</f>
        <v>-3087961.664852215</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492632125.64787006</v>
      </c>
      <c r="D14" s="11" t="s">
        <v>3</v>
      </c>
      <c r="E14" s="1"/>
    </row>
    <row r="15" spans="1:5" x14ac:dyDescent="0.25">
      <c r="A15" s="1"/>
      <c r="B15" s="33" t="s">
        <v>12</v>
      </c>
      <c r="C15" s="28"/>
      <c r="D15" s="19"/>
      <c r="E15" s="1"/>
    </row>
    <row r="16" spans="1:5" ht="15" customHeight="1" x14ac:dyDescent="0.25">
      <c r="A16" s="1"/>
      <c r="B16" s="31" t="s">
        <v>12</v>
      </c>
      <c r="C16" s="10">
        <f>'Fane 6. Ikke-påvirkelige omk.'!C20*(1+'Fane 15. Nøgletal'!C10)^3+'Fane 6. Ikke-påvirkelige omk.'!C27+'Fane 6. Ikke-påvirkelige omk.'!C35</f>
        <v>12876615.148483252</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505508740.79635334</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zNW6Q6OIHPRFT9lKKMSCrsKoTrQNk40ywSlB6u2B4CaRSAs8elqI4fpfZEvvbCdhi476jKkVx2WbRLV68AyieQ==" saltValue="hJBbZKjtVVskDYiJ1U7Rb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6" t="s">
        <v>161</v>
      </c>
      <c r="C3" s="106"/>
      <c r="D3" s="106"/>
      <c r="E3" s="1"/>
    </row>
    <row r="4" spans="1:5" ht="15" customHeight="1" x14ac:dyDescent="0.25">
      <c r="A4" s="1"/>
      <c r="B4" s="106"/>
      <c r="C4" s="106"/>
      <c r="D4" s="10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351781363.23977673</v>
      </c>
      <c r="D9" s="8" t="s">
        <v>3</v>
      </c>
      <c r="E9" s="1"/>
    </row>
    <row r="10" spans="1:5" ht="15" customHeight="1" x14ac:dyDescent="0.25">
      <c r="A10" s="1"/>
      <c r="B10" s="64" t="s">
        <v>35</v>
      </c>
      <c r="C10" s="7">
        <v>685614.12639999995</v>
      </c>
      <c r="D10" s="8" t="s">
        <v>3</v>
      </c>
      <c r="E10" s="1"/>
    </row>
    <row r="11" spans="1:5" ht="15" customHeight="1" x14ac:dyDescent="0.25">
      <c r="A11" s="1"/>
      <c r="B11" s="64" t="s">
        <v>36</v>
      </c>
      <c r="C11" s="9">
        <v>4028423.6888000001</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28804828.405242119</v>
      </c>
      <c r="D16" s="8" t="s">
        <v>3</v>
      </c>
      <c r="E16" s="1"/>
    </row>
    <row r="17" spans="1:5" ht="15" customHeight="1" x14ac:dyDescent="0.25">
      <c r="A17" s="1"/>
      <c r="B17" s="64" t="s">
        <v>10</v>
      </c>
      <c r="C17" s="38">
        <v>-183050.77308121181</v>
      </c>
      <c r="D17" s="8" t="s">
        <v>3</v>
      </c>
      <c r="E17" s="1"/>
    </row>
    <row r="18" spans="1:5" ht="15" customHeight="1" x14ac:dyDescent="0.25">
      <c r="A18" s="1"/>
      <c r="B18" s="64" t="s">
        <v>22</v>
      </c>
      <c r="C18" s="38">
        <v>-2533328.2960799858</v>
      </c>
      <c r="D18" s="8" t="s">
        <v>3</v>
      </c>
      <c r="E18" s="1"/>
    </row>
    <row r="19" spans="1:5" ht="15" customHeight="1" x14ac:dyDescent="0.25">
      <c r="A19" s="1"/>
      <c r="B19" s="64" t="s">
        <v>23</v>
      </c>
      <c r="C19" s="38">
        <v>0</v>
      </c>
      <c r="D19" s="8" t="s">
        <v>3</v>
      </c>
      <c r="E19" s="43"/>
    </row>
    <row r="20" spans="1:5" ht="15" customHeight="1" x14ac:dyDescent="0.25">
      <c r="A20" s="1"/>
      <c r="B20" s="82" t="s">
        <v>21</v>
      </c>
      <c r="C20" s="10">
        <v>382583850.39105767</v>
      </c>
      <c r="D20" s="11" t="s">
        <v>3</v>
      </c>
      <c r="E20" s="1"/>
    </row>
    <row r="21" spans="1:5" ht="15" customHeight="1" x14ac:dyDescent="0.25">
      <c r="A21" s="1"/>
      <c r="B21" s="33" t="s">
        <v>12</v>
      </c>
      <c r="C21" s="28"/>
      <c r="D21" s="19"/>
      <c r="E21" s="1"/>
    </row>
    <row r="22" spans="1:5" ht="15" customHeight="1" x14ac:dyDescent="0.25">
      <c r="A22" s="1"/>
      <c r="B22" s="31" t="s">
        <v>12</v>
      </c>
      <c r="C22" s="10">
        <v>8852672.2432691194</v>
      </c>
      <c r="D22" s="11" t="s">
        <v>3</v>
      </c>
      <c r="E22" s="1"/>
    </row>
    <row r="23" spans="1:5" ht="15" customHeight="1" x14ac:dyDescent="0.25">
      <c r="A23" s="1"/>
      <c r="B23" s="33" t="s">
        <v>42</v>
      </c>
      <c r="C23" s="28"/>
      <c r="D23" s="19"/>
      <c r="E23" s="1"/>
    </row>
    <row r="24" spans="1:5" ht="15" customHeight="1" x14ac:dyDescent="0.25">
      <c r="A24" s="1"/>
      <c r="B24" s="82" t="s">
        <v>42</v>
      </c>
      <c r="C24" s="10">
        <v>0</v>
      </c>
      <c r="D24" s="11" t="s">
        <v>3</v>
      </c>
      <c r="E24" s="1"/>
    </row>
    <row r="25" spans="1:5" x14ac:dyDescent="0.25">
      <c r="A25" s="1"/>
      <c r="B25" s="41" t="s">
        <v>41</v>
      </c>
      <c r="C25" s="39"/>
      <c r="D25" s="40"/>
      <c r="E25" s="1"/>
    </row>
    <row r="26" spans="1:5" ht="15" customHeight="1" x14ac:dyDescent="0.25">
      <c r="A26" s="1"/>
      <c r="B26" s="64" t="s">
        <v>89</v>
      </c>
      <c r="C26" s="71">
        <v>869172.98155071994</v>
      </c>
      <c r="D26" s="8" t="s">
        <v>3</v>
      </c>
      <c r="E26" s="1"/>
    </row>
    <row r="27" spans="1:5" ht="15" customHeight="1" x14ac:dyDescent="0.25">
      <c r="A27" s="1"/>
      <c r="B27" s="64" t="s">
        <v>38</v>
      </c>
      <c r="C27" s="9">
        <v>0</v>
      </c>
      <c r="D27" s="8" t="s">
        <v>3</v>
      </c>
      <c r="E27" s="1"/>
    </row>
    <row r="28" spans="1:5" ht="15" customHeight="1" x14ac:dyDescent="0.25">
      <c r="A28" s="1"/>
      <c r="B28" s="64" t="s">
        <v>92</v>
      </c>
      <c r="C28" s="71">
        <v>-17796.391609895007</v>
      </c>
      <c r="D28" s="8" t="s">
        <v>3</v>
      </c>
      <c r="E28" s="1"/>
    </row>
    <row r="29" spans="1:5" ht="15" customHeight="1" x14ac:dyDescent="0.25">
      <c r="A29" s="1"/>
      <c r="B29" s="64" t="s">
        <v>93</v>
      </c>
      <c r="C29" s="9">
        <v>0</v>
      </c>
      <c r="D29" s="8" t="s">
        <v>3</v>
      </c>
      <c r="E29" s="1"/>
    </row>
    <row r="30" spans="1:5" ht="15" customHeight="1" x14ac:dyDescent="0.25">
      <c r="A30" s="1"/>
      <c r="B30" s="67" t="s">
        <v>43</v>
      </c>
      <c r="C30" s="10">
        <v>851376.5899408249</v>
      </c>
      <c r="D30" s="11" t="s">
        <v>3</v>
      </c>
      <c r="E30" s="1"/>
    </row>
    <row r="31" spans="1:5" ht="15" customHeight="1" x14ac:dyDescent="0.25">
      <c r="A31" s="1"/>
      <c r="B31" s="33" t="s">
        <v>69</v>
      </c>
      <c r="C31" s="28"/>
      <c r="D31" s="19"/>
      <c r="E31" s="1"/>
    </row>
    <row r="32" spans="1:5" ht="15" customHeight="1" x14ac:dyDescent="0.25">
      <c r="A32" s="1"/>
      <c r="B32" s="31" t="s">
        <v>79</v>
      </c>
      <c r="C32" s="10">
        <v>-455400.5</v>
      </c>
      <c r="D32" s="11" t="s">
        <v>3</v>
      </c>
      <c r="E32" s="1"/>
    </row>
    <row r="33" spans="1:5" x14ac:dyDescent="0.25">
      <c r="A33" s="1"/>
      <c r="B33" s="33" t="s">
        <v>128</v>
      </c>
      <c r="C33" s="28"/>
      <c r="D33" s="19"/>
      <c r="E33" s="1"/>
    </row>
    <row r="34" spans="1:5" ht="15.4" customHeight="1" x14ac:dyDescent="0.25">
      <c r="A34" s="1"/>
      <c r="B34" s="31" t="s">
        <v>128</v>
      </c>
      <c r="C34" s="10">
        <v>-74472</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391758026.7242676</v>
      </c>
      <c r="D37" s="30" t="s">
        <v>3</v>
      </c>
      <c r="E37" s="1"/>
    </row>
    <row r="38" spans="1:5" ht="30" customHeight="1" x14ac:dyDescent="0.25">
      <c r="A38" s="1"/>
      <c r="B38" s="107" t="s">
        <v>223</v>
      </c>
      <c r="C38" s="107"/>
      <c r="D38" s="107"/>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T2qNi9JQ5yqmJ1npBDQlzHZUl/q1D68WZAPH0mexg+oqu7BskWJS5vh032k1Vbm/h3Lu2oUOIeylEIcgY4axVg==" saltValue="k7hMZ9aBesTBQPwryR6VoQ=="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6" t="s">
        <v>56</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123</v>
      </c>
      <c r="C8" s="109"/>
      <c r="D8" s="110"/>
      <c r="E8" s="1"/>
    </row>
    <row r="9" spans="1:5" x14ac:dyDescent="0.25">
      <c r="A9" s="1"/>
      <c r="B9" s="65" t="s">
        <v>88</v>
      </c>
      <c r="C9" s="23">
        <v>125925403.05618618</v>
      </c>
      <c r="D9" s="14" t="s">
        <v>3</v>
      </c>
      <c r="E9" s="1"/>
    </row>
    <row r="10" spans="1:5" x14ac:dyDescent="0.25">
      <c r="A10" s="1"/>
      <c r="B10" s="65" t="s">
        <v>125</v>
      </c>
      <c r="C10" s="23">
        <f>('Fane 3. Omkostninger i ØR2024'!C10+'Fane 3. Omkostninger i ØR2024'!C12+'Fane 3. Omkostninger i ØR2024'!C14)*(1+'Fane 15. Nøgletal'!C9)</f>
        <v>741011.7478131199</v>
      </c>
      <c r="D10" s="14" t="s">
        <v>3</v>
      </c>
      <c r="E10" s="1"/>
    </row>
    <row r="11" spans="1:5" x14ac:dyDescent="0.25">
      <c r="A11" s="1"/>
      <c r="B11" s="65" t="s">
        <v>131</v>
      </c>
      <c r="C11" s="23">
        <f>C9*'Fane 15. Nøgletal'!C21+C10*'Fane 15. Nøgletal'!C21</f>
        <v>2533328.2960799858</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134163039.89775918</v>
      </c>
      <c r="D15" s="14" t="s">
        <v>3</v>
      </c>
      <c r="E15" s="1"/>
    </row>
    <row r="16" spans="1:5" x14ac:dyDescent="0.25">
      <c r="A16" s="1"/>
      <c r="B16" s="65" t="s">
        <v>184</v>
      </c>
      <c r="C16" s="23">
        <f>('Fane 2.1. Økonomisk ramme 2025'!C10+'Fane 2.1. Økonomisk ramme 2025'!C12+'Fane 2.1. Økonomisk ramme 2025'!C14)*(1+'Fane 15. Nøgletal'!C10)</f>
        <v>1145575.4594767399</v>
      </c>
      <c r="D16" s="14" t="s">
        <v>3</v>
      </c>
      <c r="E16" s="1"/>
    </row>
    <row r="17" spans="1:5" x14ac:dyDescent="0.25">
      <c r="A17" s="1"/>
      <c r="B17" s="65" t="s">
        <v>132</v>
      </c>
      <c r="C17" s="23">
        <f>C15*'Fane 15. Nøgletal'!C21+C16*'Fane 15. Nøgletal'!C21</f>
        <v>2706172.3071447187</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141393985.02431229</v>
      </c>
      <c r="D21" s="14" t="s">
        <v>3</v>
      </c>
      <c r="E21" s="1"/>
    </row>
    <row r="22" spans="1:5" x14ac:dyDescent="0.25">
      <c r="A22" s="1"/>
      <c r="B22" s="65" t="s">
        <v>196</v>
      </c>
      <c r="C22" s="23">
        <f>C21*'Fane 15. Nøgletal'!C21</f>
        <v>2827879.700486246</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147753038.10679573</v>
      </c>
      <c r="D26" s="14" t="s">
        <v>3</v>
      </c>
      <c r="E26" s="1"/>
    </row>
    <row r="27" spans="1:5" x14ac:dyDescent="0.25">
      <c r="A27" s="1"/>
      <c r="B27" s="65" t="s">
        <v>194</v>
      </c>
      <c r="C27" s="23">
        <f>C26*'Fane 15. Nøgletal'!C21</f>
        <v>2955060.7621359145</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154398083.24261075</v>
      </c>
      <c r="D31" s="14" t="s">
        <v>3</v>
      </c>
      <c r="E31" s="1"/>
    </row>
    <row r="32" spans="1:5" x14ac:dyDescent="0.25">
      <c r="A32" s="1"/>
      <c r="B32" s="65" t="s">
        <v>195</v>
      </c>
      <c r="C32" s="23">
        <f>C31*'Fane 15. Nøgletal'!C21</f>
        <v>3087961.664852215</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Y4GuEzaq47GIGOw3hY1yOZimAyLvCXKDWdE6g+eWYTSOv7NIAezaO8VK0l/M8nkq4iUhE0Cy7EFbgsTc1OJa2w==" saltValue="0nRXKZU7FrfDu/8flf4Nww=="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278786653.70414823</v>
      </c>
      <c r="D9" s="14" t="s">
        <v>3</v>
      </c>
      <c r="E9" s="1"/>
    </row>
    <row r="10" spans="1:5" x14ac:dyDescent="0.25">
      <c r="A10" s="1"/>
      <c r="B10" s="65" t="s">
        <v>126</v>
      </c>
      <c r="C10" s="23">
        <f>('Fane 3. Omkostninger i ØR2024'!C11+'Fane 3. Omkostninger i ØR2024'!C13+'Fane 3. Omkostninger i ØR2024'!C15)*(1+'Fane 15. Nøgletal'!C9)</f>
        <v>4353920.3228550404</v>
      </c>
      <c r="D10" s="14" t="s">
        <v>3</v>
      </c>
      <c r="E10" s="1"/>
    </row>
    <row r="11" spans="1:5" x14ac:dyDescent="0.25">
      <c r="A11" s="1"/>
      <c r="B11" s="65" t="s">
        <v>135</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306018332.40838516</v>
      </c>
      <c r="D15" s="14" t="s">
        <v>3</v>
      </c>
      <c r="E15" s="1"/>
    </row>
    <row r="16" spans="1:5" x14ac:dyDescent="0.25">
      <c r="A16" s="1"/>
      <c r="B16" s="65" t="s">
        <v>185</v>
      </c>
      <c r="C16" s="23">
        <f>('Fane 2.1. Økonomisk ramme 2025'!C11+'Fane 2.1. Økonomisk ramme 2025'!C13+'Fane 2.1. Økonomisk ramme 2025'!C15)*(1+'Fane 15. Nøgletal'!C10)</f>
        <v>2982764.93125806</v>
      </c>
      <c r="D16" s="14" t="s">
        <v>3</v>
      </c>
      <c r="E16" s="1"/>
    </row>
    <row r="17" spans="1:5" x14ac:dyDescent="0.25">
      <c r="A17" s="1"/>
      <c r="B17" s="65" t="s">
        <v>137</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329487870.0932616</v>
      </c>
      <c r="D21" s="14" t="s">
        <v>3</v>
      </c>
      <c r="E21" s="1"/>
    </row>
    <row r="22" spans="1:5" x14ac:dyDescent="0.25">
      <c r="A22" s="1"/>
      <c r="B22" s="65" t="s">
        <v>197</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351332915.88044482</v>
      </c>
      <c r="D26" s="14" t="s">
        <v>3</v>
      </c>
      <c r="E26" s="1"/>
    </row>
    <row r="27" spans="1:5" x14ac:dyDescent="0.25">
      <c r="A27" s="1"/>
      <c r="B27" s="65" t="s">
        <v>198</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374626288.2033183</v>
      </c>
      <c r="D31" s="14" t="s">
        <v>3</v>
      </c>
      <c r="E31" s="1"/>
    </row>
    <row r="32" spans="1:5" x14ac:dyDescent="0.25">
      <c r="A32" s="1"/>
      <c r="B32" s="65" t="s">
        <v>199</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Szaz+laKnVuwGyHaI0a4BLBSVJPZz8sUvlKNphodN0JalYT/Vu5htILx6ig4RfUR0jt1WWEEcXPTC1ODs35/jw==" saltValue="GETuWjeRSvWqO84VKNIRkg=="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4.750860733658382E-4</v>
      </c>
      <c r="D9" s="1"/>
    </row>
    <row r="10" spans="1:4" x14ac:dyDescent="0.25">
      <c r="A10" s="1"/>
      <c r="B10" s="33"/>
      <c r="C10" s="19"/>
      <c r="D10" s="1"/>
    </row>
    <row r="11" spans="1:4" x14ac:dyDescent="0.25">
      <c r="A11" s="1"/>
      <c r="B11" s="112" t="s">
        <v>218</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i4Mq3ZrnvvU5pxqloSflUg/7uKN58xFJPj4TPYngNFmuvk+cHGfkJMq2qnZIxwUh6JKP+nSGKO0ucTTnOHCpxA==" saltValue="b+OnP2SiUxkjdXekSVLqLg=="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2024-10-07T10:24:39Z</dcterms:modified>
</cp:coreProperties>
</file>