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olland Spildevand AS (S06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G26" i="11" l="1"/>
  <c r="F26" i="11"/>
  <c r="E26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16" i="40" l="1"/>
  <c r="E12" i="40"/>
  <c r="C14" i="19" l="1"/>
  <c r="E18" i="27" l="1"/>
  <c r="G26" i="30" l="1"/>
  <c r="E29" i="32" l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24" i="11" l="1"/>
  <c r="E25" i="11"/>
  <c r="E10" i="11"/>
  <c r="G7" i="30" l="1"/>
  <c r="E29" i="20" l="1"/>
  <c r="E23" i="20"/>
  <c r="E17" i="20"/>
  <c r="E11" i="20"/>
  <c r="E12" i="20" s="1"/>
  <c r="E21" i="32" l="1"/>
  <c r="E12" i="32"/>
  <c r="E33" i="32" l="1"/>
  <c r="E17" i="40"/>
  <c r="C34" i="2" s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C38" i="39" s="1"/>
  <c r="C21" i="23" s="1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22" i="39" l="1"/>
  <c r="C22" i="15" s="1"/>
  <c r="E22" i="39"/>
  <c r="C23" i="15" s="1"/>
  <c r="E30" i="39"/>
  <c r="C22" i="22" s="1"/>
  <c r="C23" i="22" s="1"/>
  <c r="E38" i="39"/>
  <c r="C22" i="23" s="1"/>
  <c r="C23" i="23" s="1"/>
  <c r="E14" i="39"/>
  <c r="C31" i="2" s="1"/>
  <c r="C14" i="39"/>
  <c r="C30" i="2" s="1"/>
  <c r="C24" i="15" l="1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C10" i="37"/>
  <c r="C11" i="37" s="1"/>
  <c r="C12" i="37" s="1"/>
  <c r="C14" i="2" s="1"/>
  <c r="E11" i="21" l="1"/>
  <c r="C11" i="21"/>
  <c r="E11" i="29"/>
  <c r="C11" i="29"/>
  <c r="C15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1" i="37" s="1"/>
  <c r="E12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<sst xmlns="http://schemas.openxmlformats.org/spreadsheetml/2006/main" count="743" uniqueCount="292">
  <si>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</si>
  <si>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</si>
  <si>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</si>
  <si>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</si>
  <si>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</si>
  <si>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</si>
  <si>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</si>
  <si>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</si>
  <si>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</si>
  <si>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</si>
  <si>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</si>
  <si>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</si>
  <si>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</si>
  <si>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</si>
  <si>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</si>
  <si>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</si>
  <si>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</si>
  <si>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</si>
  <si>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</si>
  <si>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</si>
  <si>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</si>
  <si>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</si>
  <si>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</si>
  <si>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</si>
  <si>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</si>
  <si>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</si>
  <si>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</si>
  <si>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</si>
  <si>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</si>
  <si>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</si>
  <si>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</si>
  <si>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</si>
  <si>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</si>
  <si>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</si>
  <si>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</si>
  <si>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</si>
  <si>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</si>
  <si>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</si>
  <si>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</si>
  <si>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</si>
  <si>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</si>
  <si>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</si>
  <si>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</si>
  <si>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</si>
  <si>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</si>
  <si>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</si>
  <si>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</si>
  <si>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</si>
  <si>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</si>
  <si>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</si>
  <si>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</si>
  <si>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</si>
  <si>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</si>
  <si>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</si>
  <si>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</si>
  <si>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</si>
  <si>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</si>
  <si>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</si>
  <si>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</si>
  <si>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</si>
  <si>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</si>
  <si>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</si>
  <si>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</si>
  <si>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</si>
  <si>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</si>
  <si>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</si>
  <si>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</si>
  <si>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</si>
  <si>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</si>
  <si>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</si>
  <si>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</si>
  <si>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</si>
  <si>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</si>
  <si>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</si>
  <si>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</si>
  <si>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</si>
  <si>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</si>
  <si>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</si>
  <si>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</si>
  <si>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</si>
  <si>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</si>
  <si>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</si>
  <si>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</si>
  <si>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</si>
  <si>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</si>
  <si>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</si>
  <si>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</si>
  <si>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</si>
  <si>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</si>
  <si>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</si>
  <si>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</si>
  <si>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</si>
  <si>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</si>
  <si>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</si>
  <si>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</si>
  <si>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</si>
  <si>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</si>
  <si>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</si>
  <si>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</si>
  <si>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</si>
  <si>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</si>
  <si>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</si>
  <si>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</si>
  <si>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</si>
  <si>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</si>
  <si>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</si>
  <si>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</si>
  <si>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</si>
  <si>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</si>
  <si>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</si>
  <si>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</si>
  <si>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</si>
  <si>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</si>
  <si>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</si>
  <si>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</si>
  <si>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</si>
  <si>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</si>
  <si>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</si>
  <si>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</si>
  <si>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</si>
  <si>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</si>
  <si>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</si>
  <si>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</si>
  <si>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</si>
  <si>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</si>
  <si>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</si>
  <si>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</si>
  <si>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</si>
  <si>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</si>
  <si>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</si>
  <si>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</si>
  <si>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</si>
  <si>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</si>
  <si>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</si>
  <si>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</si>
  <si>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</si>
  <si>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</si>
  <si>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</si>
  <si>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</si>
  <si>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</si>
  <si>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</si>
  <si>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</si>
  <si>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</si>
  <si>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</si>
  <si>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</si>
  <si>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</si>
  <si>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</si>
  <si>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</si>
  <si>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</si>
  <si>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</si>
  <si>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</si>
  <si>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</si>
  <si>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</si>
  <si>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</si>
  <si>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</si>
  <si>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</si>
  <si>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</si>
  <si>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</si>
  <si>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</si>
  <si>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</si>
  <si>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</si>
  <si>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</si>
  <si>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</si>
  <si>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</si>
  <si>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</si>
  <si>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</si>
  <si>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</si>
  <si>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</si>
  <si>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</si>
  <si>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</si>
  <si>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</si>
  <si>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</si>
  <si>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</si>
  <si>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</si>
  <si>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</si>
  <si>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</si>
  <si>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</si>
  <si>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</si>
  <si>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</si>
  <si>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</si>
  <si>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</si>
  <si>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</si>
  <si>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</si>
  <si>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</si>
  <si>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</si>
  <si>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</si>
  <si>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</si>
  <si>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</si>
  <si>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</si>
  <si>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</si>
  <si>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</si>
  <si>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</si>
  <si>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</si>
  <si>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</si>
  <si>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</si>
  <si>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</si>
  <si>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</si>
  <si>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</si>
  <si>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</si>
  <si>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</si>
  <si>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</si>
  <si>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</si>
  <si>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</si>
  <si>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</si>
  <si>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</si>
  <si>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</si>
  <si>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</si>
  <si>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</si>
  <si>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</si>
  <si>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</si>
  <si>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</si>
  <si>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</si>
  <si>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</si>
  <si>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</si>
  <si>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</si>
  <si>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</si>
  <si>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</si>
  <si>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</si>
  <si>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</si>
  <si>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</si>
  <si>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</si>
  <si>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</si>
  <si>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</si>
  <si>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</si>
  <si>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</si>
  <si>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</si>
  <si>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</si>
  <si>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</si>
  <si>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</si>
  <si>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</si>
  <si>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</si>
  <si>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</si>
  <si>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</si>
  <si>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</si>
  <si>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</si>
  <si>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</si>
  <si>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</si>
  <si>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</si>
  <si>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</si>
  <si>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</si>
  <si>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</si>
  <si>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</si>
  <si>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</si>
  <si>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</si>
  <si>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</si>
  <si>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</si>
  <si>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</si>
  <si>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</si>
  <si>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</si>
  <si>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</si>
  <si>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</si>
  <si>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</si>
  <si>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</si>
  <si>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</si>
  <si>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</si>
  <si>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</si>
  <si>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</si>
  <si>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</si>
  <si>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</si>
  <si>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</si>
  <si>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</si>
  <si>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</si>
  <si>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</si>
  <si>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</si>
  <si>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</si>
  <si>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</si>
  <si>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</si>
  <si>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</si>
  <si>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</si>
  <si>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</si>
  <si>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</si>
  <si>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</si>
  <si>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</si>
  <si>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Erstatninger</t>
  </si>
  <si>
    <t>Ingen tilknyttet virksomhed</t>
  </si>
  <si>
    <t>Ingen bortfald eller nedsættelse</t>
  </si>
  <si>
    <t>Ingen engangstillæg</t>
  </si>
  <si>
    <t>Forklaring, Konstruktioner</t>
  </si>
  <si>
    <t>60</t>
  </si>
  <si>
    <t>Forklaring, Mek/EL</t>
  </si>
  <si>
    <t>20</t>
  </si>
  <si>
    <t>Forklaring, SRO</t>
  </si>
  <si>
    <t>10</t>
  </si>
  <si>
    <t>Ø 200 mm &lt; Ledningsnet ≤ Ø 500 mm</t>
  </si>
  <si>
    <t>75</t>
  </si>
  <si>
    <t>Pumpestationer i brønde (&lt; 6,25 m2), Mek/EL</t>
  </si>
  <si>
    <t>Pumpestationer i brønde (&lt; 6,25 m2), SRO</t>
  </si>
  <si>
    <t xml:space="preserve">GIS </t>
  </si>
  <si>
    <t>5</t>
  </si>
  <si>
    <t>KLS - ISO 9001</t>
  </si>
  <si>
    <t>Ledningsnet ≤ Ø 200 mm</t>
  </si>
  <si>
    <t>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</si>
</sst>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263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0" t="s">
        <v>41</v>
      </c>
      <c r="E13" s="61"/>
      <c r="F13" s="61"/>
      <c r="G13" s="62"/>
      <c r="H13" s="1"/>
      <c r="I13" s="1"/>
    </row>
    <row r="14" spans="1:9" x14ac:dyDescent="0.45">
      <c r="A14" s="1"/>
      <c r="B14" s="1"/>
      <c r="C14" s="6" t="s">
        <v>17</v>
      </c>
      <c r="D14" s="60" t="s">
        <v>264</v>
      </c>
      <c r="E14" s="61"/>
      <c r="F14" s="61"/>
      <c r="G14" s="62"/>
      <c r="H14" s="1"/>
      <c r="I14" s="1"/>
    </row>
    <row r="15" spans="1:9" x14ac:dyDescent="0.45">
      <c r="A15" s="1"/>
      <c r="B15" s="1"/>
      <c r="C15" s="6" t="s">
        <v>39</v>
      </c>
      <c r="D15" s="60" t="s">
        <v>104</v>
      </c>
      <c r="E15" s="61"/>
      <c r="F15" s="61"/>
      <c r="G15" s="62"/>
      <c r="H15" s="1"/>
      <c r="I15" s="1"/>
    </row>
    <row r="16" spans="1:9" x14ac:dyDescent="0.45">
      <c r="A16" s="1"/>
      <c r="B16" s="1"/>
      <c r="C16" s="6" t="s">
        <v>40</v>
      </c>
      <c r="D16" s="60" t="s">
        <v>188</v>
      </c>
      <c r="E16" s="61"/>
      <c r="F16" s="61"/>
      <c r="G16" s="62"/>
      <c r="H16" s="1"/>
      <c r="I16" s="1"/>
    </row>
    <row r="17" spans="1:9" x14ac:dyDescent="0.45">
      <c r="A17" s="1"/>
      <c r="B17" s="1"/>
      <c r="C17" s="6" t="s">
        <v>184</v>
      </c>
      <c r="D17" s="60" t="s">
        <v>189</v>
      </c>
      <c r="E17" s="61"/>
      <c r="F17" s="61"/>
      <c r="G17" s="62"/>
      <c r="H17" s="1"/>
      <c r="I17" s="1"/>
    </row>
    <row r="18" spans="1:9" x14ac:dyDescent="0.45">
      <c r="A18" s="1"/>
      <c r="B18" s="1"/>
      <c r="C18" s="6" t="s">
        <v>156</v>
      </c>
      <c r="D18" s="63" t="s">
        <v>134</v>
      </c>
      <c r="E18" s="64"/>
      <c r="F18" s="64"/>
      <c r="G18" s="65"/>
      <c r="H18" s="1"/>
      <c r="I18" s="1"/>
    </row>
    <row r="19" spans="1:9" x14ac:dyDescent="0.45">
      <c r="A19" s="1"/>
      <c r="B19" s="1"/>
      <c r="C19" s="6" t="s">
        <v>157</v>
      </c>
      <c r="D19" s="63" t="s">
        <v>135</v>
      </c>
      <c r="E19" s="64"/>
      <c r="F19" s="64"/>
      <c r="G19" s="65"/>
      <c r="H19" s="1"/>
      <c r="I19" s="1"/>
    </row>
    <row r="20" spans="1:9" x14ac:dyDescent="0.4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158</v>
      </c>
      <c r="D21" s="69" t="s">
        <v>13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108</v>
      </c>
      <c r="D22" s="55" t="s">
        <v>190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191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42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159</v>
      </c>
      <c r="D25" s="55" t="s">
        <v>109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160</v>
      </c>
      <c r="D26" s="55" t="s">
        <v>110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161</v>
      </c>
      <c r="D27" s="55" t="s">
        <v>111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16</v>
      </c>
      <c r="D28" s="55" t="s">
        <v>187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44</v>
      </c>
      <c r="D29" s="55" t="s">
        <v>43</v>
      </c>
      <c r="E29" s="56"/>
      <c r="F29" s="56"/>
      <c r="G29" s="57"/>
      <c r="H29" s="1"/>
      <c r="I29" s="1"/>
    </row>
    <row r="30" spans="1:9" x14ac:dyDescent="0.45">
      <c r="A30" s="1"/>
      <c r="B30" s="1"/>
      <c r="C30" s="6" t="s">
        <v>45</v>
      </c>
      <c r="D30" s="66" t="s">
        <v>151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165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203</v>
      </c>
      <c r="C8" s="97"/>
      <c r="D8" s="98"/>
      <c r="E8" s="1"/>
      <c r="F8" s="1"/>
    </row>
    <row r="9" spans="1:6" ht="15" customHeight="1" x14ac:dyDescent="0.45">
      <c r="A9" s="1"/>
      <c r="B9" s="42" t="s">
        <v>37</v>
      </c>
      <c r="C9" s="11" t="s">
        <v>204</v>
      </c>
      <c r="D9" s="11"/>
      <c r="E9" s="1"/>
      <c r="F9" s="1"/>
    </row>
    <row r="10" spans="1:6" ht="15" customHeight="1" x14ac:dyDescent="0.45">
      <c r="A10" s="1"/>
      <c r="B10" s="49" t="s">
        <v>270</v>
      </c>
      <c r="C10" s="9">
        <v>2787431</v>
      </c>
      <c r="D10" s="14" t="s">
        <v>3</v>
      </c>
      <c r="E10" s="1"/>
      <c r="F10" s="1"/>
    </row>
    <row r="11" spans="1:6" x14ac:dyDescent="0.45">
      <c r="A11" s="1"/>
      <c r="B11" s="49" t="s">
        <v>271</v>
      </c>
      <c r="C11" s="9">
        <v>92027</v>
      </c>
      <c r="D11" s="14" t="s">
        <v>3</v>
      </c>
      <c r="E11" s="1"/>
      <c r="F11" s="1"/>
    </row>
    <row r="12" spans="1:6" x14ac:dyDescent="0.45">
      <c r="A12" s="1"/>
      <c r="B12" s="49" t="s">
        <v>272</v>
      </c>
      <c r="C12" s="9">
        <v>279841</v>
      </c>
      <c r="D12" s="14" t="s">
        <v>3</v>
      </c>
      <c r="E12" s="1"/>
      <c r="F12" s="1"/>
    </row>
    <row r="13" spans="1:6" x14ac:dyDescent="0.45">
      <c r="A13" s="1"/>
      <c r="B13" s="49" t="s">
        <v>273</v>
      </c>
      <c r="C13" s="9">
        <v>44571</v>
      </c>
      <c r="D13" s="14" t="s">
        <v>3</v>
      </c>
      <c r="E13" s="1"/>
      <c r="F13" s="1"/>
    </row>
    <row r="14" spans="1:6" x14ac:dyDescent="0.45">
      <c r="A14" s="1"/>
      <c r="B14" s="37" t="s">
        <v>205</v>
      </c>
      <c r="C14" s="12">
        <f>SUM(C10:C13)</f>
        <v>3203870</v>
      </c>
      <c r="D14" s="13" t="s">
        <v>3</v>
      </c>
      <c r="E14" s="1"/>
      <c r="F14" s="1"/>
    </row>
    <row r="15" spans="1:6" x14ac:dyDescent="0.45">
      <c r="A15" s="1"/>
      <c r="B15" s="37" t="s">
        <v>206</v>
      </c>
      <c r="C15" s="12">
        <f>C14*(1+'Fane 14. Nøgletal'!C13)^2</f>
        <v>3282521.2920108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6" t="s">
        <v>176</v>
      </c>
      <c r="C18" s="97"/>
      <c r="D18" s="98"/>
      <c r="E18" s="1"/>
      <c r="F18" s="1"/>
    </row>
    <row r="19" spans="1:6" x14ac:dyDescent="0.45">
      <c r="A19" s="1"/>
      <c r="B19" s="49" t="s">
        <v>142</v>
      </c>
      <c r="C19" s="9">
        <v>40000</v>
      </c>
      <c r="D19" s="14" t="s">
        <v>3</v>
      </c>
      <c r="E19" s="1"/>
      <c r="F19" s="1"/>
    </row>
    <row r="20" spans="1:6" x14ac:dyDescent="0.45">
      <c r="A20" s="1"/>
      <c r="B20" s="49" t="s">
        <v>143</v>
      </c>
      <c r="C20" s="9">
        <v>40000</v>
      </c>
      <c r="D20" s="14" t="s">
        <v>3</v>
      </c>
      <c r="E20" s="1"/>
      <c r="F20" s="1"/>
    </row>
    <row r="21" spans="1:6" x14ac:dyDescent="0.45">
      <c r="A21" s="1"/>
      <c r="B21" s="49" t="s">
        <v>144</v>
      </c>
      <c r="C21" s="9">
        <v>40000</v>
      </c>
      <c r="D21" s="14" t="s">
        <v>3</v>
      </c>
      <c r="E21" s="1"/>
      <c r="F21" s="1"/>
    </row>
    <row r="22" spans="1:6" x14ac:dyDescent="0.45">
      <c r="A22" s="1"/>
      <c r="B22" s="49" t="s">
        <v>207</v>
      </c>
      <c r="C22" s="9">
        <v>40000</v>
      </c>
      <c r="D22" s="14" t="s">
        <v>3</v>
      </c>
      <c r="E22" s="1"/>
      <c r="F22" s="1"/>
    </row>
    <row r="23" spans="1:6" x14ac:dyDescent="0.45">
      <c r="A23" s="1"/>
      <c r="B23" s="96"/>
      <c r="C23" s="97"/>
      <c r="D23" s="98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6" t="s">
        <v>141</v>
      </c>
      <c r="C26" s="97"/>
      <c r="D26" s="98"/>
      <c r="E26" s="1"/>
      <c r="F26" s="1"/>
    </row>
    <row r="27" spans="1:6" x14ac:dyDescent="0.45">
      <c r="A27" s="1"/>
      <c r="B27" s="49" t="s">
        <v>142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49" t="s">
        <v>143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49" t="s">
        <v>144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49" t="s">
        <v>207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6"/>
      <c r="C31" s="97"/>
      <c r="D31" s="98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4" t="s">
        <v>208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ht="15" customHeight="1" x14ac:dyDescent="0.45">
      <c r="A5" s="1"/>
      <c r="B5" s="47"/>
      <c r="C5" s="47"/>
      <c r="D5" s="47"/>
      <c r="E5" s="47"/>
      <c r="F5" s="47"/>
      <c r="G5" s="1"/>
    </row>
    <row r="6" spans="1:7" ht="15" customHeight="1" x14ac:dyDescent="0.45">
      <c r="A6" s="1"/>
      <c r="B6" s="47"/>
      <c r="C6" s="47"/>
      <c r="D6" s="47"/>
      <c r="E6" s="47"/>
      <c r="F6" s="47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250</v>
      </c>
      <c r="C8" s="97"/>
      <c r="D8" s="97"/>
      <c r="E8" s="97"/>
      <c r="F8" s="98"/>
      <c r="G8" s="1"/>
    </row>
    <row r="9" spans="1:7" x14ac:dyDescent="0.45">
      <c r="A9" s="1"/>
      <c r="B9" s="99" t="s">
        <v>251</v>
      </c>
      <c r="C9" s="100"/>
      <c r="D9" s="101"/>
      <c r="E9" s="9">
        <v>130582505.9076978</v>
      </c>
      <c r="F9" s="14" t="s">
        <v>3</v>
      </c>
      <c r="G9" s="1"/>
    </row>
    <row r="10" spans="1:7" x14ac:dyDescent="0.45">
      <c r="A10" s="1"/>
      <c r="B10" s="99" t="s">
        <v>252</v>
      </c>
      <c r="C10" s="100"/>
      <c r="D10" s="101"/>
      <c r="E10" s="9">
        <v>87524953</v>
      </c>
      <c r="F10" s="14" t="s">
        <v>3</v>
      </c>
      <c r="G10" s="1"/>
    </row>
    <row r="11" spans="1:7" x14ac:dyDescent="0.4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45">
      <c r="A12" s="1"/>
      <c r="B12" s="93" t="s">
        <v>257</v>
      </c>
      <c r="C12" s="94"/>
      <c r="D12" s="95"/>
      <c r="E12" s="10">
        <f>E9-(E10-E11)</f>
        <v>43057552.907697797</v>
      </c>
      <c r="F12" s="17" t="s">
        <v>3</v>
      </c>
      <c r="G12" s="1"/>
    </row>
    <row r="13" spans="1:7" x14ac:dyDescent="0.45">
      <c r="A13" s="1"/>
      <c r="B13" s="37"/>
      <c r="C13" s="38"/>
      <c r="D13" s="38"/>
      <c r="E13" s="38"/>
      <c r="F13" s="20"/>
      <c r="G13" s="1"/>
    </row>
    <row r="14" spans="1:7" ht="27.75" customHeight="1" x14ac:dyDescent="0.45">
      <c r="A14" s="1"/>
      <c r="B14" s="84" t="s">
        <v>253</v>
      </c>
      <c r="C14" s="85"/>
      <c r="D14" s="85"/>
      <c r="E14" s="85"/>
      <c r="F14" s="86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96" t="s">
        <v>51</v>
      </c>
      <c r="C17" s="97"/>
      <c r="D17" s="97"/>
      <c r="E17" s="97"/>
      <c r="F17" s="98"/>
      <c r="G17" s="1"/>
    </row>
    <row r="18" spans="1:7" x14ac:dyDescent="0.45">
      <c r="A18" s="1"/>
      <c r="B18" s="99" t="s">
        <v>52</v>
      </c>
      <c r="C18" s="100"/>
      <c r="D18" s="101"/>
      <c r="E18" s="9">
        <v>135645466.26166359</v>
      </c>
      <c r="F18" s="14" t="s">
        <v>3</v>
      </c>
      <c r="G18" s="1"/>
    </row>
    <row r="19" spans="1:7" x14ac:dyDescent="0.45">
      <c r="A19" s="1"/>
      <c r="B19" s="99" t="s">
        <v>53</v>
      </c>
      <c r="C19" s="100"/>
      <c r="D19" s="101"/>
      <c r="E19" s="9">
        <v>90213836</v>
      </c>
      <c r="F19" s="14" t="s">
        <v>3</v>
      </c>
      <c r="G19" s="1"/>
    </row>
    <row r="20" spans="1:7" x14ac:dyDescent="0.4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45">
      <c r="A21" s="1"/>
      <c r="B21" s="93" t="s">
        <v>54</v>
      </c>
      <c r="C21" s="94"/>
      <c r="D21" s="95"/>
      <c r="E21" s="10">
        <f>E18-(E19-E20)</f>
        <v>45431630.261663586</v>
      </c>
      <c r="F21" s="17" t="s">
        <v>3</v>
      </c>
      <c r="G21" s="1"/>
    </row>
    <row r="22" spans="1:7" x14ac:dyDescent="0.45">
      <c r="A22" s="1"/>
      <c r="B22" s="37"/>
      <c r="C22" s="38"/>
      <c r="D22" s="38"/>
      <c r="E22" s="38"/>
      <c r="F22" s="20"/>
      <c r="G22" s="1"/>
    </row>
    <row r="23" spans="1:7" ht="28.5" customHeight="1" x14ac:dyDescent="0.45">
      <c r="A23" s="1"/>
      <c r="B23" s="84" t="s">
        <v>253</v>
      </c>
      <c r="C23" s="85"/>
      <c r="D23" s="85"/>
      <c r="E23" s="85"/>
      <c r="F23" s="86"/>
      <c r="G23" s="1"/>
    </row>
    <row r="24" spans="1:7" ht="28.5" customHeight="1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96" t="s">
        <v>254</v>
      </c>
      <c r="C25" s="97"/>
      <c r="D25" s="97"/>
      <c r="E25" s="97"/>
      <c r="F25" s="98"/>
      <c r="G25" s="1"/>
    </row>
    <row r="26" spans="1:7" x14ac:dyDescent="0.45">
      <c r="A26" s="1"/>
      <c r="B26" s="99" t="s">
        <v>255</v>
      </c>
      <c r="C26" s="100"/>
      <c r="D26" s="101"/>
      <c r="E26" s="9">
        <v>112432033.34918725</v>
      </c>
      <c r="F26" s="14" t="s">
        <v>3</v>
      </c>
      <c r="G26" s="1"/>
    </row>
    <row r="27" spans="1:7" x14ac:dyDescent="0.45">
      <c r="A27" s="1"/>
      <c r="B27" s="99" t="s">
        <v>256</v>
      </c>
      <c r="C27" s="100"/>
      <c r="D27" s="101"/>
      <c r="E27" s="9">
        <v>100330982</v>
      </c>
      <c r="F27" s="14" t="s">
        <v>3</v>
      </c>
      <c r="G27" s="1"/>
    </row>
    <row r="28" spans="1:7" x14ac:dyDescent="0.4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45">
      <c r="A29" s="1"/>
      <c r="B29" s="93" t="s">
        <v>258</v>
      </c>
      <c r="C29" s="94"/>
      <c r="D29" s="95"/>
      <c r="E29" s="10">
        <f>E26-(E27-E28)</f>
        <v>12101051.349187255</v>
      </c>
      <c r="F29" s="17" t="s">
        <v>3</v>
      </c>
      <c r="G29" s="1"/>
    </row>
    <row r="30" spans="1:7" x14ac:dyDescent="0.45">
      <c r="A30" s="1"/>
      <c r="B30" s="37"/>
      <c r="C30" s="38"/>
      <c r="D30" s="38"/>
      <c r="E30" s="38"/>
      <c r="F30" s="20"/>
      <c r="G30" s="1"/>
    </row>
    <row r="31" spans="1:7" ht="28.5" customHeight="1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259</v>
      </c>
      <c r="C32" s="97"/>
      <c r="D32" s="97"/>
      <c r="E32" s="97"/>
      <c r="F32" s="98"/>
      <c r="G32" s="1"/>
    </row>
    <row r="33" spans="1:7" x14ac:dyDescent="0.4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4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4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45">
      <c r="A36" s="1"/>
      <c r="B36" s="114"/>
      <c r="C36" s="115"/>
      <c r="D36" s="115"/>
      <c r="E36" s="115"/>
      <c r="F36" s="116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36"/>
      <c r="B46" s="36"/>
      <c r="C46" s="36"/>
      <c r="D46" s="36"/>
      <c r="E46" s="36"/>
      <c r="F46" s="36"/>
      <c r="G46" s="36"/>
    </row>
    <row r="47" spans="1:7" x14ac:dyDescent="0.45">
      <c r="A47" s="36"/>
      <c r="B47" s="36"/>
      <c r="C47" s="36"/>
      <c r="D47" s="36"/>
      <c r="E47" s="36"/>
      <c r="F47" s="36"/>
      <c r="G47" s="36"/>
    </row>
    <row r="48" spans="1:7" x14ac:dyDescent="0.45">
      <c r="A48" s="36"/>
      <c r="B48" s="36"/>
      <c r="C48" s="36"/>
      <c r="D48" s="36"/>
      <c r="E48" s="36"/>
      <c r="F48" s="36"/>
      <c r="G48" s="36"/>
    </row>
    <row r="49" spans="1:7" x14ac:dyDescent="0.45">
      <c r="A49" s="36"/>
      <c r="B49" s="36"/>
      <c r="C49" s="36"/>
      <c r="D49" s="36"/>
      <c r="E49" s="36"/>
      <c r="F49" s="36"/>
      <c r="G49" s="36"/>
    </row>
    <row r="50" spans="1:7" x14ac:dyDescent="0.45">
      <c r="A50" s="36"/>
      <c r="B50" s="36"/>
      <c r="C50" s="36"/>
      <c r="D50" s="36"/>
      <c r="E50" s="36"/>
      <c r="F50" s="36"/>
      <c r="G50" s="36"/>
    </row>
    <row r="51" spans="1:7" x14ac:dyDescent="0.45">
      <c r="A51" s="36"/>
      <c r="B51" s="36"/>
      <c r="C51" s="36"/>
      <c r="D51" s="36"/>
      <c r="E51" s="36"/>
      <c r="F51" s="36"/>
      <c r="G51" s="36"/>
    </row>
    <row r="52" spans="1:7" x14ac:dyDescent="0.45">
      <c r="A52" s="36"/>
      <c r="B52" s="36"/>
      <c r="C52" s="36"/>
      <c r="D52" s="36"/>
      <c r="E52" s="36"/>
      <c r="F52" s="36"/>
      <c r="G52" s="36"/>
    </row>
    <row r="53" spans="1:7" x14ac:dyDescent="0.45">
      <c r="A53" s="36"/>
      <c r="B53" s="36"/>
      <c r="C53" s="36"/>
      <c r="D53" s="36"/>
      <c r="E53" s="36"/>
      <c r="F53" s="36"/>
      <c r="G53" s="36"/>
    </row>
    <row r="54" spans="1:7" x14ac:dyDescent="0.45">
      <c r="A54" s="36"/>
      <c r="B54" s="36"/>
      <c r="C54" s="36"/>
      <c r="D54" s="36"/>
      <c r="E54" s="36"/>
      <c r="F54" s="36"/>
      <c r="G54" s="36"/>
    </row>
    <row r="55" spans="1:7" x14ac:dyDescent="0.4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4" t="s">
        <v>209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6" t="s">
        <v>210</v>
      </c>
      <c r="C9" s="97"/>
      <c r="D9" s="97"/>
      <c r="E9" s="97"/>
      <c r="F9" s="97"/>
      <c r="G9" s="1"/>
    </row>
    <row r="10" spans="1:7" x14ac:dyDescent="0.45">
      <c r="A10" s="1"/>
      <c r="B10" s="84" t="s">
        <v>145</v>
      </c>
      <c r="C10" s="85"/>
      <c r="D10" s="86"/>
      <c r="E10" s="7">
        <v>0</v>
      </c>
      <c r="F10" s="8" t="s">
        <v>3</v>
      </c>
      <c r="G10" s="1"/>
    </row>
    <row r="11" spans="1:7" x14ac:dyDescent="0.4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45">
      <c r="A12" s="1"/>
      <c r="B12" s="93" t="s">
        <v>146</v>
      </c>
      <c r="C12" s="94"/>
      <c r="D12" s="95"/>
      <c r="E12" s="10">
        <f>E11-E10</f>
        <v>0</v>
      </c>
      <c r="F12" s="11" t="s">
        <v>3</v>
      </c>
      <c r="G12" s="1"/>
    </row>
    <row r="13" spans="1:7" x14ac:dyDescent="0.45">
      <c r="A13" s="1"/>
      <c r="B13" s="96" t="s">
        <v>133</v>
      </c>
      <c r="C13" s="97"/>
      <c r="D13" s="97"/>
      <c r="E13" s="97"/>
      <c r="F13" s="97"/>
      <c r="G13" s="1"/>
    </row>
    <row r="14" spans="1:7" x14ac:dyDescent="0.45">
      <c r="A14" s="1"/>
      <c r="B14" s="99" t="s">
        <v>212</v>
      </c>
      <c r="C14" s="100"/>
      <c r="D14" s="101"/>
      <c r="E14" s="9">
        <v>0</v>
      </c>
      <c r="F14" s="8" t="s">
        <v>3</v>
      </c>
      <c r="G14" s="1"/>
    </row>
    <row r="15" spans="1:7" x14ac:dyDescent="0.45">
      <c r="A15" s="1"/>
      <c r="B15" s="84" t="s">
        <v>213</v>
      </c>
      <c r="C15" s="85"/>
      <c r="D15" s="86"/>
      <c r="E15" s="9">
        <v>40000</v>
      </c>
      <c r="F15" s="8" t="s">
        <v>3</v>
      </c>
      <c r="G15" s="1"/>
    </row>
    <row r="16" spans="1:7" x14ac:dyDescent="0.45">
      <c r="A16" s="1"/>
      <c r="B16" s="93" t="s">
        <v>146</v>
      </c>
      <c r="C16" s="94"/>
      <c r="D16" s="95"/>
      <c r="E16" s="10">
        <f>E15-E14</f>
        <v>40000</v>
      </c>
      <c r="F16" s="11" t="s">
        <v>3</v>
      </c>
      <c r="G16" s="1"/>
    </row>
    <row r="17" spans="1:7" ht="15" customHeight="1" x14ac:dyDescent="0.45">
      <c r="A17" s="1"/>
      <c r="B17" s="37" t="s">
        <v>214</v>
      </c>
      <c r="C17" s="38"/>
      <c r="D17" s="38"/>
      <c r="E17" s="12">
        <f>E12+E16</f>
        <v>40000</v>
      </c>
      <c r="F17" s="13" t="s">
        <v>3</v>
      </c>
      <c r="G17" s="1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1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236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45">
      <c r="A10" s="1"/>
      <c r="B10" s="51" t="s">
        <v>277</v>
      </c>
      <c r="C10" s="122" t="s">
        <v>278</v>
      </c>
      <c r="D10" s="9">
        <v>19480247</v>
      </c>
      <c r="E10" s="9">
        <f>IFERROR(D10/C10,0)</f>
        <v>324670.78333333333</v>
      </c>
      <c r="F10" s="9">
        <v>0</v>
      </c>
      <c r="G10" s="9">
        <v>525046</v>
      </c>
      <c r="H10" s="14" t="s">
        <v>3</v>
      </c>
      <c r="I10" s="1"/>
    </row>
    <row r="11" spans="1:9" x14ac:dyDescent="0.45">
      <c r="A11" s="1"/>
      <c r="B11" s="51" t="s">
        <v>279</v>
      </c>
      <c r="C11" s="122" t="s">
        <v>280</v>
      </c>
      <c r="D11" s="9">
        <v>12396521</v>
      </c>
      <c r="E11" s="9">
        <f t="shared" ref="E11:E23" si="0">IFERROR(D11/C11,0)</f>
        <v>619826.05000000005</v>
      </c>
      <c r="F11" s="9">
        <v>0</v>
      </c>
      <c r="G11" s="9">
        <v>334120</v>
      </c>
      <c r="H11" s="14" t="s">
        <v>3</v>
      </c>
      <c r="I11" s="1"/>
    </row>
    <row r="12" spans="1:9" x14ac:dyDescent="0.45">
      <c r="A12" s="1"/>
      <c r="B12" s="51" t="s">
        <v>281</v>
      </c>
      <c r="C12" s="122" t="s">
        <v>282</v>
      </c>
      <c r="D12" s="9">
        <v>3541863</v>
      </c>
      <c r="E12" s="9">
        <f t="shared" si="0"/>
        <v>354186.3</v>
      </c>
      <c r="F12" s="9">
        <v>0</v>
      </c>
      <c r="G12" s="9">
        <v>95463</v>
      </c>
      <c r="H12" s="14" t="s">
        <v>3</v>
      </c>
      <c r="I12" s="1"/>
    </row>
    <row r="13" spans="1:9" ht="26.65" x14ac:dyDescent="0.45">
      <c r="A13" s="1"/>
      <c r="B13" s="51" t="s">
        <v>283</v>
      </c>
      <c r="C13" s="122" t="s">
        <v>284</v>
      </c>
      <c r="D13" s="9">
        <v>7800000</v>
      </c>
      <c r="E13" s="9">
        <f t="shared" si="0"/>
        <v>104000</v>
      </c>
      <c r="F13" s="9">
        <v>0</v>
      </c>
      <c r="G13" s="9">
        <v>210231</v>
      </c>
      <c r="H13" s="14" t="s">
        <v>3</v>
      </c>
      <c r="I13" s="1"/>
    </row>
    <row r="14" spans="1:9" ht="26.65" x14ac:dyDescent="0.45">
      <c r="A14" s="1"/>
      <c r="B14" s="51" t="s">
        <v>285</v>
      </c>
      <c r="C14" s="122" t="s">
        <v>280</v>
      </c>
      <c r="D14" s="9">
        <v>1462500</v>
      </c>
      <c r="E14" s="9">
        <f t="shared" si="0"/>
        <v>73125</v>
      </c>
      <c r="F14" s="9">
        <v>0</v>
      </c>
      <c r="G14" s="9">
        <v>39418</v>
      </c>
      <c r="H14" s="14" t="s">
        <v>3</v>
      </c>
      <c r="I14" s="1"/>
    </row>
    <row r="15" spans="1:9" ht="26.65" x14ac:dyDescent="0.45">
      <c r="A15" s="1"/>
      <c r="B15" s="51" t="s">
        <v>286</v>
      </c>
      <c r="C15" s="122" t="s">
        <v>282</v>
      </c>
      <c r="D15" s="9">
        <v>487500</v>
      </c>
      <c r="E15" s="9">
        <f t="shared" si="0"/>
        <v>48750</v>
      </c>
      <c r="F15" s="9">
        <v>0</v>
      </c>
      <c r="G15" s="9">
        <v>13139</v>
      </c>
      <c r="H15" s="14" t="s">
        <v>3</v>
      </c>
      <c r="I15" s="1"/>
    </row>
    <row r="16" spans="1:9" ht="26.65" x14ac:dyDescent="0.45">
      <c r="A16" s="1"/>
      <c r="B16" s="51" t="s">
        <v>283</v>
      </c>
      <c r="C16" s="122" t="s">
        <v>284</v>
      </c>
      <c r="D16" s="9">
        <v>38002404</v>
      </c>
      <c r="E16" s="9">
        <f t="shared" si="0"/>
        <v>506698.72</v>
      </c>
      <c r="F16" s="9">
        <v>0</v>
      </c>
      <c r="G16" s="9">
        <v>1024268</v>
      </c>
      <c r="H16" s="14" t="s">
        <v>3</v>
      </c>
      <c r="I16" s="1"/>
    </row>
    <row r="17" spans="1:9" x14ac:dyDescent="0.45">
      <c r="A17" s="1"/>
      <c r="B17" s="51" t="s">
        <v>287</v>
      </c>
      <c r="C17" s="122" t="s">
        <v>288</v>
      </c>
      <c r="D17" s="9">
        <v>2296030</v>
      </c>
      <c r="E17" s="9">
        <f t="shared" si="0"/>
        <v>459206</v>
      </c>
      <c r="F17" s="9">
        <v>0</v>
      </c>
      <c r="G17" s="9">
        <v>61884</v>
      </c>
      <c r="H17" s="14" t="s">
        <v>3</v>
      </c>
      <c r="I17" s="1"/>
    </row>
    <row r="18" spans="1:9" x14ac:dyDescent="0.45">
      <c r="A18" s="1"/>
      <c r="B18" s="51" t="s">
        <v>289</v>
      </c>
      <c r="C18" s="122" t="s">
        <v>288</v>
      </c>
      <c r="D18" s="9">
        <v>605770</v>
      </c>
      <c r="E18" s="9">
        <f t="shared" si="0"/>
        <v>121154</v>
      </c>
      <c r="F18" s="9">
        <v>0</v>
      </c>
      <c r="G18" s="9">
        <v>16327</v>
      </c>
      <c r="H18" s="14" t="s">
        <v>3</v>
      </c>
      <c r="I18" s="1"/>
    </row>
    <row r="19" spans="1:9" x14ac:dyDescent="0.45">
      <c r="A19" s="1"/>
      <c r="B19" s="51" t="s">
        <v>281</v>
      </c>
      <c r="C19" s="122" t="s">
        <v>282</v>
      </c>
      <c r="D19" s="9">
        <v>210633</v>
      </c>
      <c r="E19" s="9">
        <f t="shared" si="0"/>
        <v>21063.3</v>
      </c>
      <c r="F19" s="9">
        <v>0</v>
      </c>
      <c r="G19" s="9">
        <v>5677</v>
      </c>
      <c r="H19" s="14" t="s">
        <v>3</v>
      </c>
      <c r="I19" s="1"/>
    </row>
    <row r="20" spans="1:9" x14ac:dyDescent="0.45">
      <c r="A20" s="1"/>
      <c r="B20" s="51" t="s">
        <v>281</v>
      </c>
      <c r="C20" s="122" t="s">
        <v>282</v>
      </c>
      <c r="D20" s="9">
        <v>954322</v>
      </c>
      <c r="E20" s="9">
        <f t="shared" si="0"/>
        <v>95432.2</v>
      </c>
      <c r="F20" s="9">
        <v>0</v>
      </c>
      <c r="G20" s="9">
        <v>25722</v>
      </c>
      <c r="H20" s="14" t="s">
        <v>3</v>
      </c>
      <c r="I20" s="1"/>
    </row>
    <row r="21" spans="1:9" x14ac:dyDescent="0.45">
      <c r="A21" s="1"/>
      <c r="B21" s="51" t="s">
        <v>279</v>
      </c>
      <c r="C21" s="122" t="s">
        <v>280</v>
      </c>
      <c r="D21" s="9">
        <v>176760</v>
      </c>
      <c r="E21" s="9">
        <f t="shared" si="0"/>
        <v>8838</v>
      </c>
      <c r="F21" s="9">
        <v>0</v>
      </c>
      <c r="G21" s="9">
        <v>4764</v>
      </c>
      <c r="H21" s="14" t="s">
        <v>3</v>
      </c>
      <c r="I21" s="1"/>
    </row>
    <row r="22" spans="1:9" x14ac:dyDescent="0.45">
      <c r="A22" s="1"/>
      <c r="B22" s="51" t="s">
        <v>290</v>
      </c>
      <c r="C22" s="122" t="s">
        <v>284</v>
      </c>
      <c r="D22" s="9">
        <v>1742371</v>
      </c>
      <c r="E22" s="9">
        <f t="shared" si="0"/>
        <v>23231.613333333335</v>
      </c>
      <c r="F22" s="9">
        <v>0</v>
      </c>
      <c r="G22" s="9">
        <v>46962</v>
      </c>
      <c r="H22" s="14" t="s">
        <v>3</v>
      </c>
      <c r="I22" s="1"/>
    </row>
    <row r="23" spans="1:9" x14ac:dyDescent="0.45">
      <c r="A23" s="1"/>
      <c r="B23" s="51" t="s">
        <v>277</v>
      </c>
      <c r="C23" s="122" t="s">
        <v>278</v>
      </c>
      <c r="D23" s="9">
        <v>28608748</v>
      </c>
      <c r="E23" s="9">
        <f t="shared" si="0"/>
        <v>476812.46666666667</v>
      </c>
      <c r="F23" s="9">
        <v>0</v>
      </c>
      <c r="G23" s="9">
        <v>771083</v>
      </c>
      <c r="H23" s="14" t="s">
        <v>3</v>
      </c>
      <c r="I23" s="1"/>
    </row>
    <row r="24" spans="1:9" x14ac:dyDescent="0.45">
      <c r="A24" s="1"/>
      <c r="B24" s="51" t="s">
        <v>279</v>
      </c>
      <c r="C24" s="122" t="s">
        <v>280</v>
      </c>
      <c r="D24" s="9">
        <v>18205566</v>
      </c>
      <c r="E24" s="9">
        <f t="shared" ref="E24:E25" si="1">IFERROR(D24/C24,0)</f>
        <v>910278.3</v>
      </c>
      <c r="F24" s="9">
        <v>0</v>
      </c>
      <c r="G24" s="9">
        <v>490689</v>
      </c>
      <c r="H24" s="14" t="s">
        <v>3</v>
      </c>
      <c r="I24" s="1"/>
    </row>
    <row r="25" spans="1:9" x14ac:dyDescent="0.45">
      <c r="A25" s="1"/>
      <c r="B25" s="51" t="s">
        <v>281</v>
      </c>
      <c r="C25" s="122" t="s">
        <v>282</v>
      </c>
      <c r="D25" s="9">
        <v>5201590</v>
      </c>
      <c r="E25" s="9">
        <f t="shared" si="1"/>
        <v>520159</v>
      </c>
      <c r="F25" s="9">
        <v>0</v>
      </c>
      <c r="G25" s="9">
        <v>140197</v>
      </c>
      <c r="H25" s="14" t="s">
        <v>3</v>
      </c>
      <c r="I25" s="1"/>
    </row>
    <row r="26" spans="1:9" x14ac:dyDescent="0.45">
      <c r="A26" s="1"/>
      <c r="B26" s="96" t="s">
        <v>237</v>
      </c>
      <c r="C26" s="97"/>
      <c r="D26" s="98"/>
      <c r="E26" s="12">
        <f>SUM(E10:E25)</f>
        <v>4667431.7333333334</v>
      </c>
      <c r="F26" s="12">
        <f>SUM(F10:F25)</f>
        <v>0</v>
      </c>
      <c r="G26" s="12">
        <f>SUM(G10:G25)</f>
        <v>3804990</v>
      </c>
      <c r="H26" s="13" t="s">
        <v>3</v>
      </c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5">
      <c r="A61" s="1"/>
      <c r="B61" s="1"/>
      <c r="C61" s="1"/>
      <c r="D61" s="1"/>
      <c r="E61" s="1"/>
      <c r="F61" s="1"/>
      <c r="G61" s="1"/>
      <c r="H61" s="1"/>
      <c r="I61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4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45">
      <c r="A10" s="1"/>
      <c r="B10" s="25" t="s">
        <v>238</v>
      </c>
      <c r="C10" s="22">
        <f>'Fane 9. Anlægsprojekter'!F26</f>
        <v>0</v>
      </c>
      <c r="D10" s="14" t="s">
        <v>3</v>
      </c>
      <c r="E10" s="9">
        <f>SUM('Fane 9. Anlægsprojekter'!E26,'Fane 9. Anlægsprojekter'!G26)</f>
        <v>8472421.7333333343</v>
      </c>
      <c r="F10" s="14" t="s">
        <v>3</v>
      </c>
      <c r="G10" s="1"/>
    </row>
    <row r="11" spans="1:7" x14ac:dyDescent="0.45">
      <c r="A11" s="1"/>
      <c r="B11" s="37" t="s">
        <v>49</v>
      </c>
      <c r="C11" s="12">
        <f>SUM(C10:C10)</f>
        <v>0</v>
      </c>
      <c r="D11" s="13" t="s">
        <v>3</v>
      </c>
      <c r="E11" s="12">
        <f>SUM(E10:E10)</f>
        <v>8472421.7333333343</v>
      </c>
      <c r="F11" s="13" t="s">
        <v>3</v>
      </c>
      <c r="G11" s="1"/>
    </row>
    <row r="12" spans="1:7" x14ac:dyDescent="0.45">
      <c r="A12" s="1"/>
      <c r="B12" s="37" t="s">
        <v>215</v>
      </c>
      <c r="C12" s="12">
        <f>C11*(1+'Fane 14. Nøgletal'!C13)</f>
        <v>0</v>
      </c>
      <c r="D12" s="13" t="s">
        <v>3</v>
      </c>
      <c r="E12" s="12">
        <f>E11*(1+'Fane 14. Nøgletal'!C13)</f>
        <v>8575785.2784800008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F/p7ILpbYe9PnuAYw8TxHC7BW7PLoW8aM2pQMqeoaK8yfEQi6J5LAsawSyGWa+odSCHQGFL12NZBTDzZHlxsRQ==" saltValue="SAfBMebTcoxFODcU5i4w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136</v>
      </c>
      <c r="C8" s="97"/>
      <c r="D8" s="97"/>
      <c r="E8" s="97"/>
      <c r="F8" s="98"/>
      <c r="G8" s="1"/>
    </row>
    <row r="9" spans="1:7" x14ac:dyDescent="0.4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45">
      <c r="A10" s="1"/>
      <c r="B10" s="25" t="s">
        <v>276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137</v>
      </c>
      <c r="C16" s="97"/>
      <c r="D16" s="97"/>
      <c r="E16" s="97"/>
      <c r="F16" s="98"/>
      <c r="G16" s="1"/>
    </row>
    <row r="17" spans="1:7" x14ac:dyDescent="0.45">
      <c r="A17" s="1"/>
      <c r="B17" s="39" t="s">
        <v>18</v>
      </c>
      <c r="C17" s="39" t="s">
        <v>12</v>
      </c>
      <c r="D17" s="40"/>
      <c r="E17" s="39" t="s">
        <v>36</v>
      </c>
      <c r="F17" s="53"/>
      <c r="G17" s="1"/>
    </row>
    <row r="18" spans="1:7" x14ac:dyDescent="0.45">
      <c r="A18" s="1"/>
      <c r="B18" s="25" t="s">
        <v>276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138</v>
      </c>
      <c r="C24" s="97"/>
      <c r="D24" s="97"/>
      <c r="E24" s="97"/>
      <c r="F24" s="98"/>
      <c r="G24" s="1"/>
    </row>
    <row r="25" spans="1:7" x14ac:dyDescent="0.45">
      <c r="A25" s="1"/>
      <c r="B25" s="39" t="s">
        <v>18</v>
      </c>
      <c r="C25" s="39" t="s">
        <v>12</v>
      </c>
      <c r="D25" s="40"/>
      <c r="E25" s="39" t="s">
        <v>36</v>
      </c>
      <c r="F25" s="53"/>
      <c r="G25" s="1"/>
    </row>
    <row r="26" spans="1:7" x14ac:dyDescent="0.45">
      <c r="A26" s="1"/>
      <c r="B26" s="25" t="s">
        <v>276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218</v>
      </c>
      <c r="C32" s="97"/>
      <c r="D32" s="97"/>
      <c r="E32" s="97"/>
      <c r="F32" s="98"/>
      <c r="G32" s="1"/>
    </row>
    <row r="33" spans="1:7" x14ac:dyDescent="0.45">
      <c r="A33" s="1"/>
      <c r="B33" s="39" t="s">
        <v>18</v>
      </c>
      <c r="C33" s="39" t="s">
        <v>12</v>
      </c>
      <c r="D33" s="40"/>
      <c r="E33" s="39" t="s">
        <v>36</v>
      </c>
      <c r="F33" s="53"/>
      <c r="G33" s="1"/>
    </row>
    <row r="34" spans="1:7" x14ac:dyDescent="0.45">
      <c r="A34" s="1"/>
      <c r="B34" s="25" t="s">
        <v>276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fEBs0jJg0kR9DcdNTJhtbQmu47Ek4Yp3bszN09X70Jxq9kgTe8Mm2Tj7xBE2dD74C4GRsa1o+HelEOgQkNPEyg==" saltValue="myWQsN9igcYeA8X4NzyK5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175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4"/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123</v>
      </c>
      <c r="C8" s="97"/>
      <c r="D8" s="97"/>
      <c r="E8" s="97"/>
      <c r="F8" s="98"/>
      <c r="G8" s="1"/>
    </row>
    <row r="9" spans="1:7" x14ac:dyDescent="0.4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45">
      <c r="A10" s="1"/>
      <c r="B10" s="81" t="s">
        <v>10</v>
      </c>
      <c r="C10" s="82"/>
      <c r="D10" s="83"/>
      <c r="E10" s="9">
        <f>-E9*'Fane 5. Individuelt eff. krav'!G10</f>
        <v>0</v>
      </c>
      <c r="F10" s="14" t="s">
        <v>3</v>
      </c>
      <c r="G10" s="1"/>
    </row>
    <row r="11" spans="1:7" x14ac:dyDescent="0.45">
      <c r="A11" s="1"/>
      <c r="B11" s="81" t="s">
        <v>29</v>
      </c>
      <c r="C11" s="82"/>
      <c r="D11" s="83"/>
      <c r="E11" s="9">
        <f>-E9*'Fane 14. Nøgletal'!C27</f>
        <v>0</v>
      </c>
      <c r="F11" s="14" t="s">
        <v>3</v>
      </c>
      <c r="G11" s="1"/>
    </row>
    <row r="12" spans="1:7" x14ac:dyDescent="0.45">
      <c r="A12" s="1"/>
      <c r="B12" s="96" t="s">
        <v>126</v>
      </c>
      <c r="C12" s="97"/>
      <c r="D12" s="98"/>
      <c r="E12" s="12">
        <f>SUM(E9:E11)*(1+'Fane 14. Nøgletal'!C10)^2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6" t="s">
        <v>124</v>
      </c>
      <c r="C14" s="97"/>
      <c r="D14" s="97"/>
      <c r="E14" s="97"/>
      <c r="F14" s="98"/>
      <c r="G14" s="1"/>
    </row>
    <row r="15" spans="1:7" x14ac:dyDescent="0.4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45">
      <c r="A16" s="1"/>
      <c r="B16" s="81" t="s">
        <v>10</v>
      </c>
      <c r="C16" s="82"/>
      <c r="D16" s="83"/>
      <c r="E16" s="9">
        <f>-E15*'Fane 5. Individuelt eff. krav'!G10</f>
        <v>0</v>
      </c>
      <c r="F16" s="14" t="s">
        <v>3</v>
      </c>
      <c r="G16" s="1"/>
    </row>
    <row r="17" spans="1:7" x14ac:dyDescent="0.45">
      <c r="A17" s="1"/>
      <c r="B17" s="81" t="s">
        <v>29</v>
      </c>
      <c r="C17" s="82"/>
      <c r="D17" s="83"/>
      <c r="E17" s="9">
        <f>-E15*'Fane 14. Nøgletal'!C27</f>
        <v>0</v>
      </c>
      <c r="F17" s="14" t="s">
        <v>3</v>
      </c>
      <c r="G17" s="1"/>
    </row>
    <row r="18" spans="1:7" x14ac:dyDescent="0.45">
      <c r="A18" s="1"/>
      <c r="B18" s="96" t="s">
        <v>127</v>
      </c>
      <c r="C18" s="97"/>
      <c r="D18" s="98"/>
      <c r="E18" s="12">
        <f>SUM(E15:E17)*(1+'Fane 14. Nøgletal'!C13)^3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6" t="s">
        <v>125</v>
      </c>
      <c r="C20" s="97"/>
      <c r="D20" s="97"/>
      <c r="E20" s="97"/>
      <c r="F20" s="98"/>
      <c r="G20" s="1"/>
    </row>
    <row r="21" spans="1:7" x14ac:dyDescent="0.4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45">
      <c r="A22" s="1"/>
      <c r="B22" s="81" t="s">
        <v>10</v>
      </c>
      <c r="C22" s="82"/>
      <c r="D22" s="83"/>
      <c r="E22" s="9">
        <f>-E21*'Fane 5. Individuelt eff. krav'!G10</f>
        <v>0</v>
      </c>
      <c r="F22" s="14" t="s">
        <v>3</v>
      </c>
      <c r="G22" s="1"/>
    </row>
    <row r="23" spans="1:7" x14ac:dyDescent="0.45">
      <c r="A23" s="1"/>
      <c r="B23" s="81" t="s">
        <v>29</v>
      </c>
      <c r="C23" s="82"/>
      <c r="D23" s="83"/>
      <c r="E23" s="9">
        <f>-E21*'Fane 14. Nøgletal'!C27</f>
        <v>0</v>
      </c>
      <c r="F23" s="14" t="s">
        <v>3</v>
      </c>
      <c r="G23" s="1"/>
    </row>
    <row r="24" spans="1:7" x14ac:dyDescent="0.45">
      <c r="A24" s="1"/>
      <c r="B24" s="96" t="s">
        <v>128</v>
      </c>
      <c r="C24" s="97"/>
      <c r="D24" s="98"/>
      <c r="E24" s="12">
        <f>SUM(E21:E23)*(1+'Fane 14. Nøgletal'!C13)^4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6" t="s">
        <v>220</v>
      </c>
      <c r="C26" s="97"/>
      <c r="D26" s="97"/>
      <c r="E26" s="97"/>
      <c r="F26" s="98"/>
      <c r="G26" s="1"/>
    </row>
    <row r="27" spans="1:7" x14ac:dyDescent="0.4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45">
      <c r="A28" s="1"/>
      <c r="B28" s="81" t="s">
        <v>10</v>
      </c>
      <c r="C28" s="82"/>
      <c r="D28" s="83"/>
      <c r="E28" s="9">
        <f>-E27*'Fane 5. Individuelt eff. krav'!G10</f>
        <v>0</v>
      </c>
      <c r="F28" s="14" t="s">
        <v>3</v>
      </c>
      <c r="G28" s="1"/>
    </row>
    <row r="29" spans="1:7" x14ac:dyDescent="0.45">
      <c r="A29" s="1"/>
      <c r="B29" s="81" t="s">
        <v>29</v>
      </c>
      <c r="C29" s="82"/>
      <c r="D29" s="83"/>
      <c r="E29" s="9">
        <f>-E27*'Fane 14. Nøgletal'!C27</f>
        <v>0</v>
      </c>
      <c r="F29" s="14" t="s">
        <v>3</v>
      </c>
      <c r="G29" s="1"/>
    </row>
    <row r="30" spans="1:7" x14ac:dyDescent="0.45">
      <c r="A30" s="1"/>
      <c r="B30" s="96" t="s">
        <v>221</v>
      </c>
      <c r="C30" s="97"/>
      <c r="D30" s="98"/>
      <c r="E30" s="12">
        <f>SUM(E27:E29)*(1+'Fane 14. Nøgletal'!C13)^5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4" style="2" customWidth="1"/>
    <col min="4" max="4" width="3.265625" style="2" customWidth="1"/>
    <col min="5" max="5" width="14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222</v>
      </c>
      <c r="C3" s="74"/>
      <c r="D3" s="74"/>
      <c r="E3" s="74"/>
      <c r="F3" s="74"/>
      <c r="G3" s="1"/>
    </row>
    <row r="4" spans="1:7" ht="25.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223</v>
      </c>
      <c r="C8" s="97"/>
      <c r="D8" s="97"/>
      <c r="E8" s="97"/>
      <c r="F8" s="98"/>
      <c r="G8" s="1"/>
    </row>
    <row r="9" spans="1:7" ht="15" customHeight="1" x14ac:dyDescent="0.45">
      <c r="A9" s="1"/>
      <c r="B9" s="52" t="s">
        <v>224</v>
      </c>
      <c r="C9" s="87" t="s">
        <v>12</v>
      </c>
      <c r="D9" s="89"/>
      <c r="E9" s="120" t="s">
        <v>36</v>
      </c>
      <c r="F9" s="121"/>
      <c r="G9" s="1"/>
    </row>
    <row r="10" spans="1:7" x14ac:dyDescent="0.45">
      <c r="A10" s="1"/>
      <c r="B10" s="25" t="s">
        <v>274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162</v>
      </c>
      <c r="C3" s="74"/>
      <c r="D3" s="74"/>
      <c r="E3" s="74"/>
      <c r="F3" s="74"/>
      <c r="G3" s="1"/>
    </row>
    <row r="4" spans="1:7" ht="25.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130</v>
      </c>
      <c r="C8" s="97"/>
      <c r="D8" s="97"/>
      <c r="E8" s="97"/>
      <c r="F8" s="98"/>
      <c r="G8" s="1"/>
    </row>
    <row r="9" spans="1:7" ht="15" customHeight="1" x14ac:dyDescent="0.4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4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6" t="s">
        <v>129</v>
      </c>
      <c r="C14" s="97"/>
      <c r="D14" s="97"/>
      <c r="E14" s="97"/>
      <c r="F14" s="98"/>
      <c r="G14" s="1"/>
    </row>
    <row r="15" spans="1:7" x14ac:dyDescent="0.4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45">
      <c r="A16" s="1"/>
      <c r="B16" s="25" t="s">
        <v>275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6" t="s">
        <v>131</v>
      </c>
      <c r="C20" s="97"/>
      <c r="D20" s="97"/>
      <c r="E20" s="97"/>
      <c r="F20" s="98"/>
      <c r="G20" s="1"/>
    </row>
    <row r="21" spans="1:7" x14ac:dyDescent="0.4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45">
      <c r="A22" s="1"/>
      <c r="B22" s="25" t="s">
        <v>275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6" t="s">
        <v>227</v>
      </c>
      <c r="C26" s="97"/>
      <c r="D26" s="97"/>
      <c r="E26" s="97"/>
      <c r="F26" s="98"/>
      <c r="G26" s="1"/>
    </row>
    <row r="27" spans="1:7" x14ac:dyDescent="0.4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45">
      <c r="A28" s="1"/>
      <c r="B28" s="25" t="s">
        <v>275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4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4" t="s">
        <v>265</v>
      </c>
      <c r="C3" s="74"/>
      <c r="D3" s="1"/>
    </row>
    <row r="4" spans="1:4" ht="25.5" customHeight="1" x14ac:dyDescent="0.45">
      <c r="A4" s="1"/>
      <c r="B4" s="74"/>
      <c r="C4" s="7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7" t="s">
        <v>15</v>
      </c>
      <c r="C8" s="20"/>
      <c r="D8" s="1"/>
    </row>
    <row r="9" spans="1:4" x14ac:dyDescent="0.45">
      <c r="A9" s="1"/>
      <c r="B9" s="49" t="s">
        <v>168</v>
      </c>
      <c r="C9" s="26">
        <v>1.2699999999999999E-2</v>
      </c>
      <c r="D9" s="1"/>
    </row>
    <row r="10" spans="1:4" x14ac:dyDescent="0.45">
      <c r="A10" s="1"/>
      <c r="B10" s="49" t="s">
        <v>169</v>
      </c>
      <c r="C10" s="26">
        <v>1.7500000000000002E-2</v>
      </c>
      <c r="D10" s="1"/>
    </row>
    <row r="11" spans="1:4" x14ac:dyDescent="0.45">
      <c r="A11" s="1"/>
      <c r="B11" s="49" t="s">
        <v>24</v>
      </c>
      <c r="C11" s="26">
        <v>1.6899999999999998E-2</v>
      </c>
      <c r="D11" s="1"/>
    </row>
    <row r="12" spans="1:4" x14ac:dyDescent="0.45">
      <c r="A12" s="1"/>
      <c r="B12" s="31" t="s">
        <v>48</v>
      </c>
      <c r="C12" s="32">
        <v>1.9699999999999999E-2</v>
      </c>
      <c r="D12" s="1"/>
    </row>
    <row r="13" spans="1:4" x14ac:dyDescent="0.45">
      <c r="A13" s="1"/>
      <c r="B13" s="31" t="s">
        <v>229</v>
      </c>
      <c r="C13" s="32">
        <v>1.2200000000000001E-2</v>
      </c>
      <c r="D13" s="1"/>
    </row>
    <row r="14" spans="1:4" x14ac:dyDescent="0.45">
      <c r="A14" s="1"/>
      <c r="B14" s="37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7" t="s">
        <v>150</v>
      </c>
      <c r="C17" s="20"/>
      <c r="D17" s="1"/>
    </row>
    <row r="18" spans="1:4" x14ac:dyDescent="0.45">
      <c r="A18" s="1"/>
      <c r="B18" s="49" t="s">
        <v>170</v>
      </c>
      <c r="C18" s="23">
        <v>9.1000000000000004E-3</v>
      </c>
      <c r="D18" s="1"/>
    </row>
    <row r="19" spans="1:4" x14ac:dyDescent="0.45">
      <c r="A19" s="1"/>
      <c r="B19" s="49" t="s">
        <v>172</v>
      </c>
      <c r="C19" s="23">
        <v>1.77E-2</v>
      </c>
      <c r="D19" s="1"/>
    </row>
    <row r="20" spans="1:4" x14ac:dyDescent="0.45">
      <c r="A20" s="1"/>
      <c r="B20" s="49" t="s">
        <v>171</v>
      </c>
      <c r="C20" s="23">
        <v>8.6999999999999994E-3</v>
      </c>
      <c r="D20" s="1"/>
    </row>
    <row r="21" spans="1:4" x14ac:dyDescent="0.45">
      <c r="A21" s="1"/>
      <c r="B21" s="49" t="s">
        <v>173</v>
      </c>
      <c r="C21" s="33">
        <v>2.8400000000000002E-2</v>
      </c>
      <c r="D21" s="1"/>
    </row>
    <row r="22" spans="1:4" x14ac:dyDescent="0.45">
      <c r="A22" s="1"/>
      <c r="B22" s="49" t="s">
        <v>230</v>
      </c>
      <c r="C22" s="33">
        <v>2.75E-2</v>
      </c>
      <c r="D22" s="1"/>
    </row>
    <row r="23" spans="1:4" x14ac:dyDescent="0.45">
      <c r="A23" s="1"/>
      <c r="B23" s="37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7" t="s">
        <v>149</v>
      </c>
      <c r="C26" s="20"/>
      <c r="D26" s="1"/>
    </row>
    <row r="27" spans="1:4" x14ac:dyDescent="0.45">
      <c r="A27" s="1"/>
      <c r="B27" s="49" t="s">
        <v>174</v>
      </c>
      <c r="C27" s="26">
        <v>0.02</v>
      </c>
      <c r="D27" s="1"/>
    </row>
    <row r="28" spans="1:4" x14ac:dyDescent="0.45">
      <c r="A28" s="1"/>
      <c r="B28" s="37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7.73046875" style="2" customWidth="1"/>
    <col min="3" max="3" width="12.26562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7" t="s">
        <v>14</v>
      </c>
      <c r="C8" s="38"/>
      <c r="D8" s="20"/>
      <c r="E8" s="1"/>
    </row>
    <row r="9" spans="1:5" x14ac:dyDescent="0.45">
      <c r="A9" s="1"/>
      <c r="B9" s="48" t="s">
        <v>27</v>
      </c>
      <c r="C9" s="7">
        <f>'Fane 3. Omkostninger i ØR2020'!E22</f>
        <v>104451352.56128454</v>
      </c>
      <c r="D9" s="8" t="s">
        <v>3</v>
      </c>
      <c r="E9" s="1"/>
    </row>
    <row r="10" spans="1:5" x14ac:dyDescent="0.4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45">
      <c r="A11" s="1"/>
      <c r="B11" s="50" t="s">
        <v>232</v>
      </c>
      <c r="C11" s="7">
        <f>'Fane 3. Omkostninger i ØR2020'!E11*(1+'Fane 14. Nøgletal'!C11)*(1-'Fane 14. Nøgletal'!C20-'Fane 5. Individuelt eff. krav'!G10)</f>
        <v>2132867.3548250468</v>
      </c>
      <c r="D11" s="8" t="s">
        <v>3</v>
      </c>
      <c r="E11" s="1"/>
    </row>
    <row r="12" spans="1:5" ht="17.100000000000001" customHeight="1" x14ac:dyDescent="0.4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1151889.6974893135</v>
      </c>
      <c r="D13" s="8" t="s">
        <v>3</v>
      </c>
      <c r="E13" s="1"/>
    </row>
    <row r="14" spans="1:5" ht="17.100000000000001" customHeight="1" x14ac:dyDescent="0.45">
      <c r="A14" s="1"/>
      <c r="B14" s="46" t="s">
        <v>46</v>
      </c>
      <c r="C14" s="7">
        <f>'Fane 10.1. Varige tillæg'!C12</f>
        <v>0</v>
      </c>
      <c r="D14" s="8" t="s">
        <v>3</v>
      </c>
      <c r="E14" s="1"/>
    </row>
    <row r="15" spans="1:5" ht="17.100000000000001" customHeight="1" x14ac:dyDescent="0.45">
      <c r="A15" s="1"/>
      <c r="B15" s="46" t="s">
        <v>47</v>
      </c>
      <c r="C15" s="9">
        <f>'Fane 10.1. Varige tillæg'!E12</f>
        <v>8575785.2784800008</v>
      </c>
      <c r="D15" s="8" t="s">
        <v>3</v>
      </c>
      <c r="E15" s="1"/>
    </row>
    <row r="16" spans="1:5" ht="17.100000000000001" customHeight="1" x14ac:dyDescent="0.45">
      <c r="A16" s="1"/>
      <c r="B16" s="46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45">
      <c r="A17" s="1"/>
      <c r="B17" s="46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45">
      <c r="A18" s="1"/>
      <c r="B18" s="46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45">
      <c r="A19" s="1"/>
      <c r="B19" s="46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45">
      <c r="A20" s="1"/>
      <c r="B20" s="46" t="s">
        <v>20</v>
      </c>
      <c r="C20" s="9">
        <f>(C9-SUM(C10:C13))*'Fane 14. Nøgletal'!C10+SUM(C10:C11)*'Fane 14. Nøgletal'!C11+SUM(C12:C13)*'Fane 14. Nøgletal'!C12+SUM(C14:C19)*'Fane 14. Nøgletal'!C13</f>
        <v>1933777.6871415172</v>
      </c>
      <c r="D20" s="8" t="s">
        <v>3</v>
      </c>
      <c r="E20" s="1"/>
    </row>
    <row r="21" spans="1:5" ht="17.100000000000001" customHeight="1" x14ac:dyDescent="0.45">
      <c r="A21" s="1"/>
      <c r="B21" s="46" t="s">
        <v>10</v>
      </c>
      <c r="C21" s="9">
        <f>-SUM(C9,C14:C20)*'Fane 5. Individuelt eff. krav'!G10</f>
        <v>-135181.35167203861</v>
      </c>
      <c r="D21" s="8" t="s">
        <v>3</v>
      </c>
      <c r="E21" s="1"/>
    </row>
    <row r="22" spans="1:5" ht="17.100000000000001" customHeight="1" x14ac:dyDescent="0.45">
      <c r="A22" s="1"/>
      <c r="B22" s="46" t="s">
        <v>29</v>
      </c>
      <c r="C22" s="9">
        <f>-'Fane 4.1. Gen. krav - drift'!G36</f>
        <v>-662186.16417861904</v>
      </c>
      <c r="D22" s="8" t="s">
        <v>3</v>
      </c>
      <c r="E22" s="1"/>
    </row>
    <row r="23" spans="1:5" ht="15" customHeight="1" x14ac:dyDescent="0.45">
      <c r="A23" s="1"/>
      <c r="B23" s="46" t="s">
        <v>30</v>
      </c>
      <c r="C23" s="9">
        <f>-'Fane 4.2. Gen. krav - anlæg'!G35</f>
        <v>-1546859.2667294999</v>
      </c>
      <c r="D23" s="8" t="s">
        <v>3</v>
      </c>
      <c r="E23" s="1"/>
    </row>
    <row r="24" spans="1:5" ht="15" customHeight="1" x14ac:dyDescent="0.45">
      <c r="A24" s="1"/>
      <c r="B24" s="45" t="s">
        <v>22</v>
      </c>
      <c r="C24" s="10">
        <f>SUM(C9,C14:C23)</f>
        <v>112616688.74432589</v>
      </c>
      <c r="D24" s="11" t="s">
        <v>3</v>
      </c>
      <c r="E24" s="1"/>
    </row>
    <row r="25" spans="1:5" ht="15" customHeight="1" x14ac:dyDescent="0.45">
      <c r="A25" s="1"/>
      <c r="B25" s="37" t="s">
        <v>13</v>
      </c>
      <c r="C25" s="38"/>
      <c r="D25" s="20"/>
      <c r="E25" s="1"/>
    </row>
    <row r="26" spans="1:5" ht="15" customHeight="1" x14ac:dyDescent="0.45">
      <c r="A26" s="1"/>
      <c r="B26" s="52" t="s">
        <v>13</v>
      </c>
      <c r="C26" s="10">
        <f>'Fane 6. Ikke-påvirkelige omk.'!C15+'Fane 6. Ikke-påvirkelige omk.'!C19+'Fane 6. Ikke-påvirkelige omk.'!C27</f>
        <v>3322521.2920108</v>
      </c>
      <c r="D26" s="11" t="s">
        <v>3</v>
      </c>
      <c r="E26" s="1"/>
    </row>
    <row r="27" spans="1:5" ht="15" customHeight="1" x14ac:dyDescent="0.45">
      <c r="A27" s="1"/>
      <c r="B27" s="37" t="s">
        <v>111</v>
      </c>
      <c r="C27" s="38"/>
      <c r="D27" s="20"/>
      <c r="E27" s="1"/>
    </row>
    <row r="28" spans="1:5" ht="15" customHeight="1" x14ac:dyDescent="0.45">
      <c r="A28" s="1"/>
      <c r="B28" s="45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45">
      <c r="A29" s="1"/>
      <c r="B29" s="37" t="s">
        <v>110</v>
      </c>
      <c r="C29" s="38"/>
      <c r="D29" s="20"/>
      <c r="E29" s="1"/>
    </row>
    <row r="30" spans="1:5" x14ac:dyDescent="0.45">
      <c r="A30" s="1"/>
      <c r="B30" s="46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45">
      <c r="A31" s="1"/>
      <c r="B31" s="46" t="s">
        <v>107</v>
      </c>
      <c r="C31" s="9">
        <f>'Fane 10.2. Engangstillæg'!E14</f>
        <v>0</v>
      </c>
      <c r="D31" s="8" t="s">
        <v>3</v>
      </c>
      <c r="E31" s="1"/>
    </row>
    <row r="32" spans="1:5" x14ac:dyDescent="0.45">
      <c r="A32" s="1"/>
      <c r="B32" s="45" t="s">
        <v>112</v>
      </c>
      <c r="C32" s="10">
        <f>SUM(C30:C31)</f>
        <v>0</v>
      </c>
      <c r="D32" s="11" t="s">
        <v>3</v>
      </c>
      <c r="E32" s="1"/>
    </row>
    <row r="33" spans="1:5" x14ac:dyDescent="0.45">
      <c r="A33" s="1"/>
      <c r="B33" s="37" t="s">
        <v>191</v>
      </c>
      <c r="C33" s="38"/>
      <c r="D33" s="20"/>
      <c r="E33" s="1"/>
    </row>
    <row r="34" spans="1:5" x14ac:dyDescent="0.45">
      <c r="A34" s="1"/>
      <c r="B34" s="52" t="s">
        <v>191</v>
      </c>
      <c r="C34" s="10">
        <f>'Fane 8. Korrektion af ØR2019'!E17</f>
        <v>40000</v>
      </c>
      <c r="D34" s="11" t="s">
        <v>3</v>
      </c>
      <c r="E34" s="1"/>
    </row>
    <row r="35" spans="1:5" x14ac:dyDescent="0.45">
      <c r="A35" s="1"/>
      <c r="B35" s="37" t="s">
        <v>33</v>
      </c>
      <c r="C35" s="12">
        <f>SUM(C24,C26,C28,C32,C34)</f>
        <v>115979210.03633669</v>
      </c>
      <c r="D35" s="13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7304687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23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7" t="s">
        <v>14</v>
      </c>
      <c r="C8" s="38"/>
      <c r="D8" s="20"/>
      <c r="E8" s="1"/>
    </row>
    <row r="9" spans="1:5" ht="15" customHeight="1" x14ac:dyDescent="0.45">
      <c r="A9" s="1"/>
      <c r="B9" s="48" t="s">
        <v>28</v>
      </c>
      <c r="C9" s="7">
        <f>'Fane 2.1. Økonomisk ramme 2021'!C24</f>
        <v>112616688.74432589</v>
      </c>
      <c r="D9" s="8" t="s">
        <v>3</v>
      </c>
      <c r="E9" s="1"/>
    </row>
    <row r="10" spans="1:5" ht="15" customHeight="1" x14ac:dyDescent="0.45">
      <c r="A10" s="1"/>
      <c r="B10" s="46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6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41" t="s">
        <v>20</v>
      </c>
      <c r="C12" s="9">
        <f>SUM(C9:C11)*'Fane 14. Nøgletal'!C13</f>
        <v>1373923.602680776</v>
      </c>
      <c r="D12" s="8" t="s">
        <v>3</v>
      </c>
      <c r="E12" s="1"/>
    </row>
    <row r="13" spans="1:5" ht="15" customHeight="1" x14ac:dyDescent="0.45">
      <c r="A13" s="1"/>
      <c r="B13" s="41" t="s">
        <v>10</v>
      </c>
      <c r="C13" s="9">
        <f>-SUM(C9:C12)*'Fane 5. Individuelt eff. krav'!G10</f>
        <v>-134040.38219741939</v>
      </c>
      <c r="D13" s="8" t="s">
        <v>3</v>
      </c>
      <c r="E13" s="1"/>
    </row>
    <row r="14" spans="1:5" ht="15" customHeight="1" x14ac:dyDescent="0.45">
      <c r="A14" s="1"/>
      <c r="B14" s="41" t="s">
        <v>29</v>
      </c>
      <c r="C14" s="9">
        <f>-'Fane 4.1. Gen. krav - drift'!G42</f>
        <v>-656859.53867396631</v>
      </c>
      <c r="D14" s="8" t="s">
        <v>3</v>
      </c>
      <c r="E14" s="1"/>
    </row>
    <row r="15" spans="1:5" ht="15" customHeight="1" x14ac:dyDescent="0.45">
      <c r="A15" s="1"/>
      <c r="B15" s="41" t="s">
        <v>30</v>
      </c>
      <c r="C15" s="9">
        <f>-'Fane 4.2. Gen. krav - anlæg'!G41</f>
        <v>-2266777.1699187537</v>
      </c>
      <c r="D15" s="8" t="s">
        <v>3</v>
      </c>
      <c r="E15" s="1"/>
    </row>
    <row r="16" spans="1:5" ht="15" customHeight="1" x14ac:dyDescent="0.45">
      <c r="A16" s="1"/>
      <c r="B16" s="42" t="s">
        <v>22</v>
      </c>
      <c r="C16" s="10">
        <f>SUM(C9:C15)</f>
        <v>110932935.25621651</v>
      </c>
      <c r="D16" s="11" t="s">
        <v>3</v>
      </c>
      <c r="E16" s="1"/>
    </row>
    <row r="17" spans="1:5" ht="15" customHeight="1" x14ac:dyDescent="0.45">
      <c r="A17" s="1"/>
      <c r="B17" s="37" t="s">
        <v>13</v>
      </c>
      <c r="C17" s="38"/>
      <c r="D17" s="20"/>
      <c r="E17" s="1"/>
    </row>
    <row r="18" spans="1:5" ht="15" customHeight="1" x14ac:dyDescent="0.45">
      <c r="A18" s="1"/>
      <c r="B18" s="52" t="s">
        <v>13</v>
      </c>
      <c r="C18" s="10">
        <f>'Fane 6. Ikke-påvirkelige omk.'!C15*(1+'Fane 14. Nøgletal'!C13)+'Fane 6. Ikke-påvirkelige omk.'!C20+'Fane 6. Ikke-påvirkelige omk.'!C28</f>
        <v>3362568.0517733316</v>
      </c>
      <c r="D18" s="11" t="s">
        <v>3</v>
      </c>
      <c r="E18" s="1"/>
    </row>
    <row r="19" spans="1:5" ht="15" customHeight="1" x14ac:dyDescent="0.45">
      <c r="A19" s="1"/>
      <c r="B19" s="37" t="s">
        <v>111</v>
      </c>
      <c r="C19" s="38"/>
      <c r="D19" s="20"/>
      <c r="E19" s="1"/>
    </row>
    <row r="20" spans="1:5" ht="15" customHeight="1" x14ac:dyDescent="0.45">
      <c r="A20" s="1"/>
      <c r="B20" s="45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45">
      <c r="A21" s="1"/>
      <c r="B21" s="37" t="s">
        <v>110</v>
      </c>
      <c r="C21" s="38"/>
      <c r="D21" s="20"/>
      <c r="E21" s="1"/>
    </row>
    <row r="22" spans="1:5" ht="15" customHeight="1" x14ac:dyDescent="0.45">
      <c r="A22" s="1"/>
      <c r="B22" s="46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6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5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45">
      <c r="A25" s="1"/>
      <c r="B25" s="37" t="s">
        <v>261</v>
      </c>
      <c r="C25" s="38"/>
      <c r="D25" s="20"/>
      <c r="E25" s="1"/>
    </row>
    <row r="26" spans="1:5" ht="15" customHeight="1" x14ac:dyDescent="0.4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45">
      <c r="A27" s="1"/>
      <c r="B27" s="37" t="s">
        <v>34</v>
      </c>
      <c r="C27" s="12">
        <f>SUM(C16,C18,C20,C24,C26)</f>
        <v>114295503.30798984</v>
      </c>
      <c r="D27" s="13" t="s">
        <v>3</v>
      </c>
      <c r="E27" s="1"/>
    </row>
    <row r="28" spans="1:5" ht="15" customHeight="1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196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23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7" t="s">
        <v>14</v>
      </c>
      <c r="C7" s="38"/>
      <c r="D7" s="20"/>
      <c r="E7" s="1"/>
    </row>
    <row r="8" spans="1:5" ht="15" customHeight="1" x14ac:dyDescent="0.45">
      <c r="A8" s="1"/>
      <c r="B8" s="48" t="s">
        <v>155</v>
      </c>
      <c r="C8" s="7">
        <f>'Fane 2.2. Økonomisk ramme 2022'!C16</f>
        <v>110932935.25621651</v>
      </c>
      <c r="D8" s="8" t="s">
        <v>3</v>
      </c>
      <c r="E8" s="1"/>
    </row>
    <row r="9" spans="1:5" ht="15" customHeight="1" x14ac:dyDescent="0.45">
      <c r="A9" s="1"/>
      <c r="B9" s="48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45">
      <c r="A10" s="1"/>
      <c r="B10" s="48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Nøgletal'!C13</f>
        <v>1353381.8101258415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krav'!G10</f>
        <v>-132036.31900226715</v>
      </c>
      <c r="D12" s="8" t="s">
        <v>3</v>
      </c>
      <c r="E12" s="1"/>
    </row>
    <row r="13" spans="1:5" ht="15" customHeight="1" x14ac:dyDescent="0.45">
      <c r="A13" s="1"/>
      <c r="B13" s="41" t="s">
        <v>29</v>
      </c>
      <c r="C13" s="9">
        <f>-'Fane 4.1. Gen. krav - drift'!G48</f>
        <v>-651575.76054487284</v>
      </c>
      <c r="D13" s="8" t="s">
        <v>3</v>
      </c>
      <c r="E13" s="1"/>
    </row>
    <row r="14" spans="1:5" ht="15" customHeight="1" x14ac:dyDescent="0.45">
      <c r="A14" s="1"/>
      <c r="B14" s="41" t="s">
        <v>30</v>
      </c>
      <c r="C14" s="9">
        <f>-'Fane 4.2. Gen. krav - anlæg'!G47</f>
        <v>-2231334.9754784885</v>
      </c>
      <c r="D14" s="8" t="s">
        <v>3</v>
      </c>
      <c r="E14" s="1"/>
    </row>
    <row r="15" spans="1:5" x14ac:dyDescent="0.45">
      <c r="A15" s="1"/>
      <c r="B15" s="42" t="s">
        <v>22</v>
      </c>
      <c r="C15" s="10">
        <f>SUM(C8:C14)</f>
        <v>109271370.01131673</v>
      </c>
      <c r="D15" s="11" t="s">
        <v>3</v>
      </c>
      <c r="E15" s="1"/>
    </row>
    <row r="16" spans="1:5" x14ac:dyDescent="0.45">
      <c r="A16" s="1"/>
      <c r="B16" s="37" t="s">
        <v>13</v>
      </c>
      <c r="C16" s="38"/>
      <c r="D16" s="20"/>
      <c r="E16" s="1"/>
    </row>
    <row r="17" spans="1:5" ht="15" customHeight="1" x14ac:dyDescent="0.45">
      <c r="A17" s="1"/>
      <c r="B17" s="52" t="s">
        <v>13</v>
      </c>
      <c r="C17" s="10">
        <f>'Fane 6. Ikke-påvirkelige omk.'!C15*(1+'Fane 14. Nøgletal'!C13)^2+'Fane 6. Ikke-påvirkelige omk.'!C21+'Fane 6. Ikke-påvirkelige omk.'!C29</f>
        <v>3403103.3820049665</v>
      </c>
      <c r="D17" s="11" t="s">
        <v>3</v>
      </c>
      <c r="E17" s="1"/>
    </row>
    <row r="18" spans="1:5" ht="15" customHeight="1" x14ac:dyDescent="0.45">
      <c r="A18" s="1"/>
      <c r="B18" s="37" t="s">
        <v>111</v>
      </c>
      <c r="C18" s="38"/>
      <c r="D18" s="20"/>
      <c r="E18" s="1"/>
    </row>
    <row r="19" spans="1:5" ht="15" customHeight="1" x14ac:dyDescent="0.45">
      <c r="A19" s="1"/>
      <c r="B19" s="45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45">
      <c r="A20" s="1"/>
      <c r="B20" s="37" t="s">
        <v>110</v>
      </c>
      <c r="C20" s="38"/>
      <c r="D20" s="20"/>
      <c r="E20" s="1"/>
    </row>
    <row r="21" spans="1:5" ht="15" customHeight="1" x14ac:dyDescent="0.45">
      <c r="A21" s="1"/>
      <c r="B21" s="46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45">
      <c r="A22" s="1"/>
      <c r="B22" s="46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4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7" t="s">
        <v>132</v>
      </c>
      <c r="C24" s="38"/>
      <c r="D24" s="20"/>
      <c r="E24" s="1"/>
    </row>
    <row r="25" spans="1:5" ht="15" customHeight="1" x14ac:dyDescent="0.4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45">
      <c r="A26" s="1"/>
      <c r="B26" s="37" t="s">
        <v>121</v>
      </c>
      <c r="C26" s="12">
        <f>SUM(C15,C17,C19,C23,C25)</f>
        <v>112674473.39332169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86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197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23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7" t="s">
        <v>14</v>
      </c>
      <c r="C7" s="38"/>
      <c r="D7" s="20"/>
      <c r="E7" s="1"/>
    </row>
    <row r="8" spans="1:5" ht="15" customHeight="1" x14ac:dyDescent="0.45">
      <c r="A8" s="1"/>
      <c r="B8" s="48" t="s">
        <v>198</v>
      </c>
      <c r="C8" s="7">
        <f>'Fane 2.3. Økonomisk ramme 2023'!C15</f>
        <v>109271370.01131673</v>
      </c>
      <c r="D8" s="8" t="s">
        <v>3</v>
      </c>
      <c r="E8" s="1"/>
    </row>
    <row r="9" spans="1:5" ht="15" customHeight="1" x14ac:dyDescent="0.45">
      <c r="A9" s="1"/>
      <c r="B9" s="48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45">
      <c r="A10" s="1"/>
      <c r="B10" s="48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Nøgletal'!C13</f>
        <v>1333110.7141380643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krav'!G10</f>
        <v>-130058.66504213384</v>
      </c>
      <c r="D12" s="8" t="s">
        <v>3</v>
      </c>
      <c r="E12" s="1"/>
    </row>
    <row r="13" spans="1:5" ht="15" customHeight="1" x14ac:dyDescent="0.45">
      <c r="A13" s="1"/>
      <c r="B13" s="41" t="s">
        <v>29</v>
      </c>
      <c r="C13" s="9">
        <f>-'Fane 4.1. Gen. krav - drift'!G55</f>
        <v>-646334.48512704996</v>
      </c>
      <c r="D13" s="8" t="s">
        <v>3</v>
      </c>
      <c r="E13" s="1"/>
    </row>
    <row r="14" spans="1:5" ht="15" customHeight="1" x14ac:dyDescent="0.45">
      <c r="A14" s="1"/>
      <c r="B14" s="41" t="s">
        <v>30</v>
      </c>
      <c r="C14" s="9">
        <f>-'Fane 4.2. Gen. krav - anlæg'!G54</f>
        <v>-2196446.9374693949</v>
      </c>
      <c r="D14" s="8" t="s">
        <v>3</v>
      </c>
      <c r="E14" s="1"/>
    </row>
    <row r="15" spans="1:5" x14ac:dyDescent="0.45">
      <c r="A15" s="1"/>
      <c r="B15" s="42" t="s">
        <v>22</v>
      </c>
      <c r="C15" s="10">
        <f>SUM(C8:C14)</f>
        <v>107631640.63781622</v>
      </c>
      <c r="D15" s="11" t="s">
        <v>3</v>
      </c>
      <c r="E15" s="1"/>
    </row>
    <row r="16" spans="1:5" x14ac:dyDescent="0.45">
      <c r="A16" s="1"/>
      <c r="B16" s="37" t="s">
        <v>13</v>
      </c>
      <c r="C16" s="38"/>
      <c r="D16" s="20"/>
      <c r="E16" s="1"/>
    </row>
    <row r="17" spans="1:5" ht="15" customHeight="1" x14ac:dyDescent="0.45">
      <c r="A17" s="1"/>
      <c r="B17" s="52" t="s">
        <v>13</v>
      </c>
      <c r="C17" s="10">
        <f>'Fane 6. Ikke-påvirkelige omk.'!C15*(1+'Fane 14. Nøgletal'!C13)^3+'Fane 6. Ikke-påvirkelige omk.'!C22+'Fane 6. Ikke-påvirkelige omk.'!C30</f>
        <v>3444133.2432654272</v>
      </c>
      <c r="D17" s="11" t="s">
        <v>3</v>
      </c>
      <c r="E17" s="1"/>
    </row>
    <row r="18" spans="1:5" ht="15" customHeight="1" x14ac:dyDescent="0.45">
      <c r="A18" s="1"/>
      <c r="B18" s="37" t="s">
        <v>111</v>
      </c>
      <c r="C18" s="38"/>
      <c r="D18" s="20"/>
      <c r="E18" s="1"/>
    </row>
    <row r="19" spans="1:5" ht="15" customHeight="1" x14ac:dyDescent="0.45">
      <c r="A19" s="1"/>
      <c r="B19" s="45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45">
      <c r="A20" s="1"/>
      <c r="B20" s="37" t="s">
        <v>110</v>
      </c>
      <c r="C20" s="38"/>
      <c r="D20" s="20"/>
      <c r="E20" s="1"/>
    </row>
    <row r="21" spans="1:5" ht="15" customHeight="1" x14ac:dyDescent="0.45">
      <c r="A21" s="1"/>
      <c r="B21" s="46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45">
      <c r="A22" s="1"/>
      <c r="B22" s="46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4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7" t="s">
        <v>199</v>
      </c>
      <c r="C24" s="12">
        <f>SUM(C15,C17,C19,C23)</f>
        <v>111075773.88108164</v>
      </c>
      <c r="D24" s="13" t="s">
        <v>3</v>
      </c>
      <c r="E24" s="1"/>
    </row>
    <row r="25" spans="1:5" ht="15" customHeight="1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2" width="12.1328125" style="2" customWidth="1"/>
    <col min="3" max="3" width="12" style="2" customWidth="1"/>
    <col min="4" max="4" width="31.73046875" style="2" customWidth="1"/>
    <col min="5" max="5" width="10.86328125" style="2" bestFit="1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200</v>
      </c>
      <c r="C3" s="74"/>
      <c r="D3" s="74"/>
      <c r="E3" s="74"/>
      <c r="F3" s="74"/>
      <c r="G3" s="1"/>
    </row>
    <row r="4" spans="1:7" ht="29.2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201</v>
      </c>
      <c r="C8" s="38"/>
      <c r="D8" s="38"/>
      <c r="E8" s="38"/>
      <c r="F8" s="20"/>
      <c r="G8" s="1"/>
    </row>
    <row r="9" spans="1:7" x14ac:dyDescent="0.45">
      <c r="A9" s="1"/>
      <c r="B9" s="75" t="s">
        <v>25</v>
      </c>
      <c r="C9" s="76"/>
      <c r="D9" s="77"/>
      <c r="E9" s="7">
        <v>103551790.04809248</v>
      </c>
      <c r="F9" s="8" t="s">
        <v>3</v>
      </c>
      <c r="G9" s="1"/>
    </row>
    <row r="10" spans="1:7" x14ac:dyDescent="0.45">
      <c r="A10" s="1"/>
      <c r="B10" s="81" t="s">
        <v>233</v>
      </c>
      <c r="C10" s="82"/>
      <c r="D10" s="83"/>
      <c r="E10" s="7">
        <v>0</v>
      </c>
      <c r="F10" s="8" t="s">
        <v>3</v>
      </c>
      <c r="G10" s="1"/>
    </row>
    <row r="11" spans="1:7" x14ac:dyDescent="0.45">
      <c r="A11" s="1"/>
      <c r="B11" s="81" t="s">
        <v>234</v>
      </c>
      <c r="C11" s="82"/>
      <c r="D11" s="83"/>
      <c r="E11" s="7">
        <v>2118341.4473156459</v>
      </c>
      <c r="F11" s="8" t="s">
        <v>3</v>
      </c>
      <c r="G11" s="1"/>
    </row>
    <row r="12" spans="1:7" x14ac:dyDescent="0.45">
      <c r="A12" s="1"/>
      <c r="B12" s="78" t="s">
        <v>46</v>
      </c>
      <c r="C12" s="79"/>
      <c r="D12" s="80"/>
      <c r="E12" s="7">
        <v>0</v>
      </c>
      <c r="F12" s="8" t="s">
        <v>3</v>
      </c>
      <c r="G12" s="1"/>
    </row>
    <row r="13" spans="1:7" x14ac:dyDescent="0.45">
      <c r="A13" s="1"/>
      <c r="B13" s="78" t="s">
        <v>47</v>
      </c>
      <c r="C13" s="79"/>
      <c r="D13" s="80"/>
      <c r="E13" s="9">
        <v>1164064.102278</v>
      </c>
      <c r="F13" s="8" t="s">
        <v>3</v>
      </c>
      <c r="G13" s="1"/>
    </row>
    <row r="14" spans="1:7" x14ac:dyDescent="0.45">
      <c r="A14" s="1"/>
      <c r="B14" s="78" t="s">
        <v>32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31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193</v>
      </c>
      <c r="C16" s="79"/>
      <c r="D16" s="80"/>
      <c r="E16" s="9">
        <v>0</v>
      </c>
      <c r="F16" s="8" t="s">
        <v>3</v>
      </c>
      <c r="G16" s="1"/>
    </row>
    <row r="17" spans="1:7" x14ac:dyDescent="0.45">
      <c r="A17" s="1"/>
      <c r="B17" s="78" t="s">
        <v>194</v>
      </c>
      <c r="C17" s="79"/>
      <c r="D17" s="80"/>
      <c r="E17" s="9">
        <v>0</v>
      </c>
      <c r="F17" s="8" t="s">
        <v>3</v>
      </c>
      <c r="G17" s="1"/>
    </row>
    <row r="18" spans="1:7" x14ac:dyDescent="0.45">
      <c r="A18" s="1"/>
      <c r="B18" s="78" t="s">
        <v>20</v>
      </c>
      <c r="C18" s="79"/>
      <c r="D18" s="80"/>
      <c r="E18" s="9">
        <f>(E9-SUM(E10:E11))*'Fane 14. Nøgletal'!C10+SUM(E10:E11)*'Fane 14. Nøgletal'!C11+SUM(E12:E17)*'Fane 14. Nøgletal'!C12</f>
        <v>1833817.3837881058</v>
      </c>
      <c r="F18" s="8" t="s">
        <v>3</v>
      </c>
      <c r="G18" s="1"/>
    </row>
    <row r="19" spans="1:7" x14ac:dyDescent="0.45">
      <c r="A19" s="1"/>
      <c r="B19" s="78" t="s">
        <v>10</v>
      </c>
      <c r="C19" s="79"/>
      <c r="D19" s="80"/>
      <c r="E19" s="9">
        <f>-(E9+SUM(E12:E18))*'Fane 5. Individuelt eff. krav'!G10</f>
        <v>-125290.65684787639</v>
      </c>
      <c r="F19" s="8" t="s">
        <v>3</v>
      </c>
      <c r="G19" s="1"/>
    </row>
    <row r="20" spans="1:7" x14ac:dyDescent="0.45">
      <c r="A20" s="1"/>
      <c r="B20" s="78" t="s">
        <v>29</v>
      </c>
      <c r="C20" s="79"/>
      <c r="D20" s="80"/>
      <c r="E20" s="9">
        <f>-'Fane 4.1. Gen. krav - drift'!G28</f>
        <v>-664078.78872648953</v>
      </c>
      <c r="F20" s="8" t="s">
        <v>3</v>
      </c>
      <c r="G20" s="1"/>
    </row>
    <row r="21" spans="1:7" x14ac:dyDescent="0.45">
      <c r="A21" s="1"/>
      <c r="B21" s="78" t="s">
        <v>30</v>
      </c>
      <c r="C21" s="79"/>
      <c r="D21" s="80"/>
      <c r="E21" s="9">
        <f>-'Fane 4.2. Gen. krav - anlæg'!G27</f>
        <v>-1308949.5272996682</v>
      </c>
      <c r="F21" s="8" t="s">
        <v>3</v>
      </c>
      <c r="G21" s="1"/>
    </row>
    <row r="22" spans="1:7" x14ac:dyDescent="0.45">
      <c r="A22" s="1"/>
      <c r="B22" s="90" t="s">
        <v>22</v>
      </c>
      <c r="C22" s="91"/>
      <c r="D22" s="92"/>
      <c r="E22" s="10">
        <f>SUM(E9,E12:E21)</f>
        <v>104451352.56128454</v>
      </c>
      <c r="F22" s="11" t="s">
        <v>3</v>
      </c>
      <c r="G22" s="1"/>
    </row>
    <row r="23" spans="1:7" x14ac:dyDescent="0.4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45">
      <c r="A24" s="1"/>
      <c r="B24" s="87" t="s">
        <v>13</v>
      </c>
      <c r="C24" s="88"/>
      <c r="D24" s="89"/>
      <c r="E24" s="10">
        <v>2435266.7515010643</v>
      </c>
      <c r="F24" s="10" t="s">
        <v>3</v>
      </c>
      <c r="G24" s="1"/>
    </row>
    <row r="25" spans="1:7" ht="14.25" customHeight="1" x14ac:dyDescent="0.45">
      <c r="A25" s="1"/>
      <c r="B25" s="37" t="s">
        <v>111</v>
      </c>
      <c r="C25" s="37"/>
      <c r="D25" s="37"/>
      <c r="E25" s="38"/>
      <c r="F25" s="38"/>
      <c r="G25" s="1"/>
    </row>
    <row r="26" spans="1:7" x14ac:dyDescent="0.45">
      <c r="A26" s="1"/>
      <c r="B26" s="93" t="s">
        <v>111</v>
      </c>
      <c r="C26" s="94"/>
      <c r="D26" s="95"/>
      <c r="E26" s="10">
        <v>0</v>
      </c>
      <c r="F26" s="10" t="s">
        <v>3</v>
      </c>
      <c r="G26" s="1"/>
    </row>
    <row r="27" spans="1:7" x14ac:dyDescent="0.4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45">
      <c r="A28" s="1"/>
      <c r="B28" s="81" t="s">
        <v>106</v>
      </c>
      <c r="C28" s="82"/>
      <c r="D28" s="83"/>
      <c r="E28" s="34">
        <v>0</v>
      </c>
      <c r="F28" s="8" t="s">
        <v>3</v>
      </c>
      <c r="G28" s="1"/>
    </row>
    <row r="29" spans="1:7" ht="15.75" customHeight="1" x14ac:dyDescent="0.45">
      <c r="A29" s="1"/>
      <c r="B29" s="81" t="s">
        <v>107</v>
      </c>
      <c r="C29" s="82"/>
      <c r="D29" s="83"/>
      <c r="E29" s="34">
        <v>0</v>
      </c>
      <c r="F29" s="8" t="s">
        <v>3</v>
      </c>
      <c r="G29" s="1"/>
    </row>
    <row r="30" spans="1:7" x14ac:dyDescent="0.45">
      <c r="A30" s="1"/>
      <c r="B30" s="45" t="s">
        <v>112</v>
      </c>
      <c r="C30" s="43"/>
      <c r="D30" s="44"/>
      <c r="E30" s="10">
        <v>0</v>
      </c>
      <c r="F30" s="11" t="s">
        <v>3</v>
      </c>
      <c r="G30" s="1"/>
    </row>
    <row r="31" spans="1:7" x14ac:dyDescent="0.4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45">
      <c r="A32" s="1"/>
      <c r="B32" s="87" t="s">
        <v>267</v>
      </c>
      <c r="C32" s="88"/>
      <c r="D32" s="89"/>
      <c r="E32" s="10">
        <v>0</v>
      </c>
      <c r="F32" s="11" t="s">
        <v>3</v>
      </c>
      <c r="G32" s="1"/>
    </row>
    <row r="33" spans="1:7" x14ac:dyDescent="0.4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45">
      <c r="A34" s="1"/>
      <c r="B34" s="87" t="s">
        <v>269</v>
      </c>
      <c r="C34" s="88"/>
      <c r="D34" s="89"/>
      <c r="E34" s="10">
        <v>40000</v>
      </c>
      <c r="F34" s="11" t="s">
        <v>3</v>
      </c>
      <c r="G34" s="1"/>
    </row>
    <row r="35" spans="1:7" x14ac:dyDescent="0.45">
      <c r="A35" s="1"/>
      <c r="B35" s="37" t="s">
        <v>26</v>
      </c>
      <c r="C35" s="38"/>
      <c r="D35" s="38"/>
      <c r="E35" s="12">
        <f>E22+E24+E26+E30+E32+E34</f>
        <v>106926619.31278561</v>
      </c>
      <c r="F35" s="13" t="s">
        <v>3</v>
      </c>
      <c r="G35" s="1"/>
    </row>
    <row r="36" spans="1:7" ht="26.85" customHeight="1" x14ac:dyDescent="0.45">
      <c r="A36" s="1"/>
      <c r="B36" s="84" t="s">
        <v>202</v>
      </c>
      <c r="C36" s="85"/>
      <c r="D36" s="85"/>
      <c r="E36" s="85"/>
      <c r="F36" s="86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4" t="s">
        <v>167</v>
      </c>
      <c r="C1" s="74"/>
      <c r="D1" s="74"/>
      <c r="E1" s="74"/>
      <c r="F1" s="74"/>
      <c r="G1" s="74"/>
      <c r="H1" s="74"/>
      <c r="I1" s="1"/>
    </row>
    <row r="2" spans="1:9" ht="15" customHeight="1" x14ac:dyDescent="0.4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4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45">
      <c r="A4" s="1"/>
      <c r="B4" s="96" t="s">
        <v>66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55</v>
      </c>
      <c r="C5" s="100"/>
      <c r="D5" s="100"/>
      <c r="E5" s="100"/>
      <c r="F5" s="101"/>
      <c r="G5" s="24">
        <v>33489459.031905983</v>
      </c>
      <c r="H5" s="14" t="s">
        <v>3</v>
      </c>
      <c r="I5" s="1"/>
    </row>
    <row r="6" spans="1:9" x14ac:dyDescent="0.45">
      <c r="A6" s="1"/>
      <c r="B6" s="84" t="s">
        <v>183</v>
      </c>
      <c r="C6" s="85"/>
      <c r="D6" s="85"/>
      <c r="E6" s="85"/>
      <c r="F6" s="86"/>
      <c r="G6" s="24">
        <v>0</v>
      </c>
      <c r="H6" s="14" t="s">
        <v>3</v>
      </c>
      <c r="I6" s="1"/>
    </row>
    <row r="7" spans="1:9" x14ac:dyDescent="0.45">
      <c r="A7" s="1"/>
      <c r="B7" s="99" t="s">
        <v>56</v>
      </c>
      <c r="C7" s="100"/>
      <c r="D7" s="100"/>
      <c r="E7" s="100"/>
      <c r="F7" s="101"/>
      <c r="G7" s="24">
        <f>SUM(G5:G6)*'Fane 14. Nøgletal'!C27</f>
        <v>669789.18063811969</v>
      </c>
      <c r="H7" s="14" t="s">
        <v>3</v>
      </c>
      <c r="I7" s="1"/>
    </row>
    <row r="8" spans="1:9" x14ac:dyDescent="0.4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6" t="s">
        <v>67</v>
      </c>
      <c r="C10" s="97"/>
      <c r="D10" s="97"/>
      <c r="E10" s="97"/>
      <c r="F10" s="97"/>
      <c r="G10" s="97"/>
      <c r="H10" s="98"/>
      <c r="I10" s="1"/>
    </row>
    <row r="11" spans="1:9" x14ac:dyDescent="0.4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33394014.073665053</v>
      </c>
      <c r="H11" s="14" t="s">
        <v>3</v>
      </c>
      <c r="I11" s="1"/>
    </row>
    <row r="12" spans="1:9" x14ac:dyDescent="0.45">
      <c r="A12" s="1"/>
      <c r="B12" s="99" t="s">
        <v>185</v>
      </c>
      <c r="C12" s="100"/>
      <c r="D12" s="100"/>
      <c r="E12" s="100"/>
      <c r="F12" s="101"/>
      <c r="G12" s="24">
        <v>0</v>
      </c>
      <c r="H12" s="14" t="s">
        <v>3</v>
      </c>
      <c r="I12" s="1"/>
    </row>
    <row r="13" spans="1:9" x14ac:dyDescent="0.45">
      <c r="A13" s="1"/>
      <c r="B13" s="84" t="s">
        <v>182</v>
      </c>
      <c r="C13" s="85"/>
      <c r="D13" s="85"/>
      <c r="E13" s="85"/>
      <c r="F13" s="86"/>
      <c r="G13" s="24">
        <v>0</v>
      </c>
      <c r="H13" s="14" t="s">
        <v>3</v>
      </c>
      <c r="I13" s="1"/>
    </row>
    <row r="14" spans="1:9" x14ac:dyDescent="0.45">
      <c r="A14" s="1"/>
      <c r="B14" s="107" t="s">
        <v>58</v>
      </c>
      <c r="C14" s="105"/>
      <c r="D14" s="105"/>
      <c r="E14" s="105"/>
      <c r="F14" s="106"/>
      <c r="G14" s="24">
        <v>0</v>
      </c>
      <c r="H14" s="14" t="s">
        <v>3</v>
      </c>
      <c r="I14" s="1"/>
    </row>
    <row r="15" spans="1:9" x14ac:dyDescent="0.4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667880.28147330112</v>
      </c>
      <c r="H15" s="14" t="s">
        <v>3</v>
      </c>
      <c r="I15" s="1"/>
    </row>
    <row r="16" spans="1:9" x14ac:dyDescent="0.4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96" t="s">
        <v>68</v>
      </c>
      <c r="C18" s="97"/>
      <c r="D18" s="97"/>
      <c r="E18" s="97"/>
      <c r="F18" s="97"/>
      <c r="G18" s="97"/>
      <c r="H18" s="98"/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33298841.133555111</v>
      </c>
      <c r="H19" s="14" t="s">
        <v>3</v>
      </c>
      <c r="I19" s="1"/>
    </row>
    <row r="20" spans="1:9" x14ac:dyDescent="0.45">
      <c r="A20" s="1"/>
      <c r="B20" s="107" t="s">
        <v>61</v>
      </c>
      <c r="C20" s="105"/>
      <c r="D20" s="105"/>
      <c r="E20" s="105"/>
      <c r="F20" s="106"/>
      <c r="G20" s="24">
        <v>0</v>
      </c>
      <c r="H20" s="14" t="s">
        <v>3</v>
      </c>
      <c r="I20" s="1"/>
    </row>
    <row r="21" spans="1:9" x14ac:dyDescent="0.4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665976.82267110224</v>
      </c>
      <c r="H21" s="14" t="s">
        <v>3</v>
      </c>
      <c r="I21" s="1"/>
    </row>
    <row r="22" spans="1:9" x14ac:dyDescent="0.4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96" t="s">
        <v>69</v>
      </c>
      <c r="C24" s="97"/>
      <c r="D24" s="97"/>
      <c r="E24" s="97"/>
      <c r="F24" s="97"/>
      <c r="G24" s="97"/>
      <c r="H24" s="98"/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33203939.436324477</v>
      </c>
      <c r="H25" s="14" t="s">
        <v>3</v>
      </c>
      <c r="I25" s="1"/>
    </row>
    <row r="26" spans="1:9" x14ac:dyDescent="0.45">
      <c r="A26" s="1"/>
      <c r="B26" s="102" t="s">
        <v>180</v>
      </c>
      <c r="C26" s="103"/>
      <c r="D26" s="103"/>
      <c r="E26" s="103"/>
      <c r="F26" s="104"/>
      <c r="G26" s="24">
        <f>G20*(1-'Fane 14. Nøgletal'!C27)*(1+'Fane 14. Nøgletal'!C11)</f>
        <v>0</v>
      </c>
      <c r="H26" s="14" t="s">
        <v>3</v>
      </c>
      <c r="I26" s="1"/>
    </row>
    <row r="27" spans="1:9" x14ac:dyDescent="0.45">
      <c r="A27" s="1"/>
      <c r="B27" s="107" t="s">
        <v>64</v>
      </c>
      <c r="C27" s="105"/>
      <c r="D27" s="105"/>
      <c r="E27" s="105"/>
      <c r="F27" s="106"/>
      <c r="G27" s="24">
        <v>0</v>
      </c>
      <c r="H27" s="14" t="s">
        <v>3</v>
      </c>
      <c r="I27" s="1"/>
    </row>
    <row r="28" spans="1:9" x14ac:dyDescent="0.4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664078.78872648953</v>
      </c>
      <c r="H28" s="14" t="s">
        <v>3</v>
      </c>
      <c r="I28" s="1"/>
    </row>
    <row r="29" spans="1:9" x14ac:dyDescent="0.4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6" t="s">
        <v>72</v>
      </c>
      <c r="C31" s="97"/>
      <c r="D31" s="97"/>
      <c r="E31" s="97"/>
      <c r="F31" s="97"/>
      <c r="G31" s="97"/>
      <c r="H31" s="98"/>
      <c r="I31" s="1"/>
    </row>
    <row r="32" spans="1:9" x14ac:dyDescent="0.4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33109308.208930954</v>
      </c>
      <c r="H32" s="14" t="s">
        <v>3</v>
      </c>
      <c r="I32" s="1"/>
    </row>
    <row r="33" spans="1:9" x14ac:dyDescent="0.45">
      <c r="A33" s="1"/>
      <c r="B33" s="102" t="s">
        <v>180</v>
      </c>
      <c r="C33" s="105"/>
      <c r="D33" s="105"/>
      <c r="E33" s="105"/>
      <c r="F33" s="106"/>
      <c r="G33" s="24">
        <f>G26*(1-'Fane 14. Nøgletal'!C27)*(1+'Fane 14. Nøgletal'!C11)</f>
        <v>0</v>
      </c>
      <c r="H33" s="14" t="s">
        <v>3</v>
      </c>
      <c r="I33" s="1"/>
    </row>
    <row r="34" spans="1:9" x14ac:dyDescent="0.45">
      <c r="A34" s="1"/>
      <c r="B34" s="102" t="s">
        <v>181</v>
      </c>
      <c r="C34" s="105"/>
      <c r="D34" s="105"/>
      <c r="E34" s="105"/>
      <c r="F34" s="106"/>
      <c r="G34" s="24">
        <f>G27*(1-'Fane 14. Nøgletal'!C27)*(1+'Fane 14. Nøgletal'!C12)</f>
        <v>0</v>
      </c>
      <c r="H34" s="14" t="s">
        <v>3</v>
      </c>
      <c r="I34" s="1"/>
    </row>
    <row r="35" spans="1:9" x14ac:dyDescent="0.4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0</v>
      </c>
      <c r="H35" s="14" t="s">
        <v>3</v>
      </c>
      <c r="I35" s="1"/>
    </row>
    <row r="36" spans="1:9" x14ac:dyDescent="0.4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662186.16417861904</v>
      </c>
      <c r="H36" s="14" t="s">
        <v>3</v>
      </c>
      <c r="I36" s="1"/>
    </row>
    <row r="37" spans="1:9" x14ac:dyDescent="0.4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96" t="s">
        <v>99</v>
      </c>
      <c r="C39" s="97"/>
      <c r="D39" s="97"/>
      <c r="E39" s="97"/>
      <c r="F39" s="97"/>
      <c r="G39" s="97"/>
      <c r="H39" s="98"/>
      <c r="I39" s="1"/>
    </row>
    <row r="40" spans="1:9" x14ac:dyDescent="0.4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32842976.933698315</v>
      </c>
      <c r="H40" s="14" t="s">
        <v>3</v>
      </c>
      <c r="I40" s="1"/>
    </row>
    <row r="41" spans="1:9" x14ac:dyDescent="0.4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4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656859.53867396631</v>
      </c>
      <c r="H42" s="14" t="s">
        <v>3</v>
      </c>
      <c r="I42" s="1"/>
    </row>
    <row r="43" spans="1:9" x14ac:dyDescent="0.4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96" t="s">
        <v>100</v>
      </c>
      <c r="C45" s="97"/>
      <c r="D45" s="97"/>
      <c r="E45" s="97"/>
      <c r="F45" s="97"/>
      <c r="G45" s="97"/>
      <c r="H45" s="98"/>
      <c r="I45" s="1"/>
    </row>
    <row r="46" spans="1:9" x14ac:dyDescent="0.4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32578788.027243644</v>
      </c>
      <c r="H46" s="14" t="s">
        <v>3</v>
      </c>
      <c r="I46" s="1"/>
    </row>
    <row r="47" spans="1:9" x14ac:dyDescent="0.4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4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651575.76054487284</v>
      </c>
      <c r="H48" s="14" t="s">
        <v>3</v>
      </c>
      <c r="I48" s="1"/>
    </row>
    <row r="49" spans="1:9" x14ac:dyDescent="0.4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4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4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45">
      <c r="A52" s="1"/>
      <c r="B52" s="96" t="s">
        <v>240</v>
      </c>
      <c r="C52" s="97"/>
      <c r="D52" s="97"/>
      <c r="E52" s="97"/>
      <c r="F52" s="97"/>
      <c r="G52" s="97"/>
      <c r="H52" s="98"/>
      <c r="I52" s="1"/>
    </row>
    <row r="53" spans="1:9" x14ac:dyDescent="0.4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32316724.256352495</v>
      </c>
      <c r="H53" s="14" t="s">
        <v>3</v>
      </c>
      <c r="I53" s="1"/>
    </row>
    <row r="54" spans="1:9" x14ac:dyDescent="0.4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4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646334.48512704996</v>
      </c>
      <c r="H55" s="14" t="s">
        <v>3</v>
      </c>
      <c r="I55" s="1"/>
    </row>
    <row r="56" spans="1:9" x14ac:dyDescent="0.4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45">
      <c r="A3" s="1"/>
      <c r="B3" s="108"/>
      <c r="C3" s="108"/>
      <c r="D3" s="108"/>
      <c r="E3" s="108"/>
      <c r="F3" s="108"/>
      <c r="G3" s="108"/>
      <c r="H3" s="108"/>
      <c r="I3" s="1"/>
    </row>
    <row r="4" spans="1:9" ht="18" x14ac:dyDescent="0.55000000000000004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45">
      <c r="A5" s="1"/>
      <c r="B5" s="96" t="s">
        <v>70</v>
      </c>
      <c r="C5" s="97"/>
      <c r="D5" s="97"/>
      <c r="E5" s="97"/>
      <c r="F5" s="97"/>
      <c r="G5" s="97"/>
      <c r="H5" s="98"/>
      <c r="I5" s="1"/>
    </row>
    <row r="6" spans="1:9" x14ac:dyDescent="0.45">
      <c r="A6" s="1"/>
      <c r="B6" s="99" t="s">
        <v>77</v>
      </c>
      <c r="C6" s="100"/>
      <c r="D6" s="100"/>
      <c r="E6" s="100"/>
      <c r="F6" s="101"/>
      <c r="G6" s="24">
        <v>70397788.210642904</v>
      </c>
      <c r="H6" s="14" t="s">
        <v>3</v>
      </c>
      <c r="I6" s="1"/>
    </row>
    <row r="7" spans="1:9" x14ac:dyDescent="0.45">
      <c r="A7" s="1"/>
      <c r="B7" s="99" t="s">
        <v>71</v>
      </c>
      <c r="C7" s="100"/>
      <c r="D7" s="100"/>
      <c r="E7" s="100"/>
      <c r="F7" s="101"/>
      <c r="G7" s="24">
        <f>G6*'Fane 14. Nøgletal'!C18</f>
        <v>640619.87271685048</v>
      </c>
      <c r="H7" s="14" t="s">
        <v>3</v>
      </c>
      <c r="I7" s="1"/>
    </row>
    <row r="8" spans="1:9" x14ac:dyDescent="0.4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6" t="s">
        <v>78</v>
      </c>
      <c r="C10" s="97"/>
      <c r="D10" s="97"/>
      <c r="E10" s="97"/>
      <c r="F10" s="97"/>
      <c r="G10" s="97"/>
      <c r="H10" s="98"/>
      <c r="I10" s="1"/>
    </row>
    <row r="11" spans="1:9" x14ac:dyDescent="0.4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70977918.783839777</v>
      </c>
      <c r="H11" s="14" t="s">
        <v>3</v>
      </c>
      <c r="I11" s="1"/>
    </row>
    <row r="12" spans="1:9" x14ac:dyDescent="0.45">
      <c r="A12" s="1"/>
      <c r="B12" s="99" t="s">
        <v>186</v>
      </c>
      <c r="C12" s="100"/>
      <c r="D12" s="100"/>
      <c r="E12" s="100"/>
      <c r="F12" s="101"/>
      <c r="G12" s="24">
        <v>81827.2974011521</v>
      </c>
      <c r="H12" s="14" t="s">
        <v>3</v>
      </c>
      <c r="I12" s="1"/>
    </row>
    <row r="13" spans="1:9" x14ac:dyDescent="0.45">
      <c r="A13" s="1"/>
      <c r="B13" s="107" t="s">
        <v>80</v>
      </c>
      <c r="C13" s="105"/>
      <c r="D13" s="105"/>
      <c r="E13" s="105"/>
      <c r="F13" s="106"/>
      <c r="G13" s="24">
        <v>0</v>
      </c>
      <c r="H13" s="14" t="s">
        <v>3</v>
      </c>
      <c r="I13" s="1"/>
    </row>
    <row r="14" spans="1:9" x14ac:dyDescent="0.4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1257757.5056379645</v>
      </c>
      <c r="H14" s="14" t="s">
        <v>3</v>
      </c>
      <c r="I14" s="1"/>
    </row>
    <row r="15" spans="1:9" x14ac:dyDescent="0.4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96" t="s">
        <v>82</v>
      </c>
      <c r="C17" s="97"/>
      <c r="D17" s="97"/>
      <c r="E17" s="97"/>
      <c r="F17" s="97"/>
      <c r="G17" s="97"/>
      <c r="H17" s="98"/>
      <c r="I17" s="1"/>
    </row>
    <row r="18" spans="1:9" x14ac:dyDescent="0.4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71023523.375676021</v>
      </c>
      <c r="H18" s="14" t="s">
        <v>3</v>
      </c>
      <c r="I18" s="1"/>
    </row>
    <row r="19" spans="1:9" x14ac:dyDescent="0.45">
      <c r="A19" s="1"/>
      <c r="B19" s="107" t="s">
        <v>84</v>
      </c>
      <c r="C19" s="105"/>
      <c r="D19" s="105"/>
      <c r="E19" s="105"/>
      <c r="F19" s="106"/>
      <c r="G19" s="24">
        <v>2139470.6231166311</v>
      </c>
      <c r="H19" s="14" t="s">
        <v>3</v>
      </c>
      <c r="I19" s="1"/>
    </row>
    <row r="20" spans="1:9" x14ac:dyDescent="0.4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1275729.7581705803</v>
      </c>
      <c r="H20" s="14" t="s">
        <v>3</v>
      </c>
      <c r="I20" s="1"/>
    </row>
    <row r="21" spans="1:9" x14ac:dyDescent="0.4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6" t="s">
        <v>86</v>
      </c>
      <c r="C23" s="97"/>
      <c r="D23" s="97"/>
      <c r="E23" s="97"/>
      <c r="F23" s="97"/>
      <c r="G23" s="97"/>
      <c r="H23" s="98"/>
      <c r="I23" s="1"/>
    </row>
    <row r="24" spans="1:9" x14ac:dyDescent="0.4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73144018.850495741</v>
      </c>
      <c r="H24" s="14" t="s">
        <v>3</v>
      </c>
      <c r="I24" s="1"/>
    </row>
    <row r="25" spans="1:9" x14ac:dyDescent="0.45">
      <c r="A25" s="1"/>
      <c r="B25" s="102" t="s">
        <v>177</v>
      </c>
      <c r="C25" s="105"/>
      <c r="D25" s="105"/>
      <c r="E25" s="105"/>
      <c r="F25" s="106"/>
      <c r="G25" s="24">
        <f>G19*(1-'Fane 14. Nøgletal'!C20)*(1+'Fane 14. Nøgletal'!C11)</f>
        <v>2156699.7158604707</v>
      </c>
      <c r="H25" s="14" t="s">
        <v>3</v>
      </c>
      <c r="I25" s="1"/>
    </row>
    <row r="26" spans="1:9" x14ac:dyDescent="0.45">
      <c r="A26" s="1"/>
      <c r="B26" s="107" t="s">
        <v>88</v>
      </c>
      <c r="C26" s="105"/>
      <c r="D26" s="105"/>
      <c r="E26" s="105"/>
      <c r="F26" s="106"/>
      <c r="G26" s="24">
        <v>1186996.1650928766</v>
      </c>
      <c r="H26" s="14" t="s">
        <v>3</v>
      </c>
      <c r="I26" s="1"/>
    </row>
    <row r="27" spans="1:9" x14ac:dyDescent="0.4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1308949.5272996682</v>
      </c>
      <c r="H27" s="14" t="s">
        <v>3</v>
      </c>
      <c r="I27" s="1"/>
    </row>
    <row r="28" spans="1:9" x14ac:dyDescent="0.4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96" t="s">
        <v>90</v>
      </c>
      <c r="C30" s="97"/>
      <c r="D30" s="97"/>
      <c r="E30" s="97"/>
      <c r="F30" s="97"/>
      <c r="G30" s="97"/>
      <c r="H30" s="98"/>
      <c r="I30" s="1"/>
    </row>
    <row r="31" spans="1:9" x14ac:dyDescent="0.4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74301206.100519821</v>
      </c>
      <c r="H31" s="14" t="s">
        <v>3</v>
      </c>
      <c r="I31" s="1"/>
    </row>
    <row r="32" spans="1:9" x14ac:dyDescent="0.45">
      <c r="A32" s="1"/>
      <c r="B32" s="102" t="s">
        <v>178</v>
      </c>
      <c r="C32" s="105"/>
      <c r="D32" s="105"/>
      <c r="E32" s="105"/>
      <c r="F32" s="106"/>
      <c r="G32" s="24">
        <f>G25*(1-'Fane 14. Nøgletal'!C20)*(1+'Fane 14. Nøgletal'!C11)</f>
        <v>2174067.5539713032</v>
      </c>
      <c r="H32" s="14" t="s">
        <v>3</v>
      </c>
      <c r="I32" s="1"/>
    </row>
    <row r="33" spans="1:9" x14ac:dyDescent="0.45">
      <c r="A33" s="1"/>
      <c r="B33" s="102" t="s">
        <v>179</v>
      </c>
      <c r="C33" s="105"/>
      <c r="D33" s="105"/>
      <c r="E33" s="105"/>
      <c r="F33" s="106"/>
      <c r="G33" s="24">
        <f>G26*(1-'Fane 14. Nøgletal'!C21)*(1+'Fane 14. Nøgletal'!C12)</f>
        <v>1176005.1978421228</v>
      </c>
      <c r="H33" s="14" t="s">
        <v>3</v>
      </c>
      <c r="I33" s="1"/>
    </row>
    <row r="34" spans="1:9" x14ac:dyDescent="0.4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8680409.8588774558</v>
      </c>
      <c r="H34" s="14" t="s">
        <v>3</v>
      </c>
      <c r="I34" s="1"/>
    </row>
    <row r="35" spans="1:9" x14ac:dyDescent="0.4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1546859.2667294999</v>
      </c>
      <c r="H35" s="14" t="s">
        <v>3</v>
      </c>
      <c r="I35" s="1"/>
    </row>
    <row r="36" spans="1:9" x14ac:dyDescent="0.4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96" t="s">
        <v>101</v>
      </c>
      <c r="C38" s="97"/>
      <c r="D38" s="97"/>
      <c r="E38" s="97"/>
      <c r="F38" s="97"/>
      <c r="G38" s="97"/>
      <c r="H38" s="98"/>
      <c r="I38" s="1"/>
    </row>
    <row r="39" spans="1:9" x14ac:dyDescent="0.4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82428260.724318311</v>
      </c>
      <c r="H39" s="14" t="s">
        <v>3</v>
      </c>
      <c r="I39" s="1"/>
    </row>
    <row r="40" spans="1:9" x14ac:dyDescent="0.4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4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2266777.1699187537</v>
      </c>
      <c r="H41" s="14" t="s">
        <v>3</v>
      </c>
      <c r="I41" s="1"/>
    </row>
    <row r="42" spans="1:9" x14ac:dyDescent="0.4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96" t="s">
        <v>102</v>
      </c>
      <c r="C44" s="97"/>
      <c r="D44" s="97"/>
      <c r="E44" s="97"/>
      <c r="F44" s="97"/>
      <c r="G44" s="97"/>
      <c r="H44" s="98"/>
      <c r="I44" s="1"/>
    </row>
    <row r="45" spans="1:9" x14ac:dyDescent="0.4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81139453.65376322</v>
      </c>
      <c r="H45" s="14" t="s">
        <v>3</v>
      </c>
      <c r="I45" s="1"/>
    </row>
    <row r="46" spans="1:9" x14ac:dyDescent="0.4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4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2231334.9754784885</v>
      </c>
      <c r="H47" s="14" t="s">
        <v>3</v>
      </c>
      <c r="I47" s="1"/>
    </row>
    <row r="48" spans="1:9" x14ac:dyDescent="0.4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96" t="s">
        <v>245</v>
      </c>
      <c r="C51" s="97"/>
      <c r="D51" s="97"/>
      <c r="E51" s="97"/>
      <c r="F51" s="97"/>
      <c r="G51" s="97"/>
      <c r="H51" s="98"/>
      <c r="I51" s="1"/>
    </row>
    <row r="52" spans="1:9" x14ac:dyDescent="0.4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79870797.726159811</v>
      </c>
      <c r="H52" s="14" t="s">
        <v>3</v>
      </c>
      <c r="I52" s="1"/>
    </row>
    <row r="53" spans="1:9" x14ac:dyDescent="0.4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4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2196446.9374693949</v>
      </c>
      <c r="H54" s="14" t="s">
        <v>3</v>
      </c>
      <c r="I54" s="1"/>
    </row>
    <row r="55" spans="1:9" x14ac:dyDescent="0.4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d6Hmf5CLZ2zpIaNvLTQBNDqgGSpJ+wRz/4JEDl3LAUcSQC6HTmbNDcMc9TfMmXMjsMr2bLBCtLVlp6JVVBxng==" saltValue="bhsU2XDKa6ZnJlPaDAKvKQ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103</v>
      </c>
      <c r="C9" s="100"/>
      <c r="D9" s="100"/>
      <c r="E9" s="100"/>
      <c r="F9" s="101"/>
      <c r="G9" s="23" t="s">
        <v>291</v>
      </c>
      <c r="H9" s="14"/>
      <c r="I9" s="1"/>
    </row>
    <row r="10" spans="1:9" x14ac:dyDescent="0.45">
      <c r="A10" s="1"/>
      <c r="B10" s="99" t="s">
        <v>148</v>
      </c>
      <c r="C10" s="100"/>
      <c r="D10" s="100"/>
      <c r="E10" s="100"/>
      <c r="F10" s="101"/>
      <c r="G10" s="23">
        <v>1.1758896582586805E-3</v>
      </c>
      <c r="H10" s="14"/>
      <c r="I10" s="1"/>
    </row>
    <row r="11" spans="1:9" x14ac:dyDescent="0.4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45">
      <c r="A12" s="1"/>
      <c r="B12" s="84" t="s">
        <v>152</v>
      </c>
      <c r="C12" s="85"/>
      <c r="D12" s="85"/>
      <c r="E12" s="85"/>
      <c r="F12" s="85"/>
      <c r="G12" s="85"/>
      <c r="H12" s="86"/>
      <c r="I12" s="1"/>
    </row>
    <row r="13" spans="1:9" ht="30.75" customHeight="1" x14ac:dyDescent="0.4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2020-09-08T07:53:03Z</dcterms:modified>
</cp:coreProperties>
</file>