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Ringsted Vand AS (V15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G18" i="30" l="1"/>
  <c r="E16" i="27" l="1"/>
  <c r="C15" i="19" l="1"/>
  <c r="E33" i="32" l="1"/>
  <c r="E39" i="32" s="1"/>
  <c r="E41" i="32" s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6" i="2" s="1"/>
  <c r="C30" i="39"/>
  <c r="C19" i="22" s="1"/>
  <c r="E22" i="39"/>
  <c r="C21" i="15" s="1"/>
  <c r="E30" i="39"/>
  <c r="C20" i="22" s="1"/>
  <c r="C22" i="39"/>
  <c r="C20" i="15" s="1"/>
  <c r="C14" i="39"/>
  <c r="C25" i="2" s="1"/>
  <c r="C21" i="22" l="1"/>
  <c r="C21" i="23"/>
  <c r="C22" i="15"/>
  <c r="C27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9" i="2"/>
  <c r="F11" i="11"/>
  <c r="C10" i="37" s="1"/>
  <c r="C12" i="37" s="1"/>
  <c r="G11" i="11"/>
  <c r="C13" i="37" l="1"/>
  <c r="C11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5" i="2"/>
  <c r="C16" i="2"/>
  <c r="C23" i="2"/>
  <c r="C14" i="2"/>
  <c r="C13" i="2"/>
  <c r="G30" i="30" l="1"/>
  <c r="G29" i="30" l="1"/>
  <c r="E18" i="27"/>
  <c r="G31" i="30" l="1"/>
  <c r="E11" i="11"/>
  <c r="E10" i="37" s="1"/>
  <c r="E12" i="37" s="1"/>
  <c r="G35" i="30" l="1"/>
  <c r="G37" i="30" s="1"/>
  <c r="C19" i="2"/>
  <c r="E13" i="37"/>
  <c r="C12" i="2" s="1"/>
  <c r="G30" i="36" s="1"/>
  <c r="G41" i="30" l="1"/>
  <c r="G43" i="30" s="1"/>
  <c r="C14" i="15"/>
  <c r="G31" i="36"/>
  <c r="C20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7" i="2"/>
  <c r="C18" i="2" l="1"/>
  <c r="C21" i="2" s="1"/>
  <c r="C32" i="2" s="1"/>
  <c r="C9" i="15" l="1"/>
  <c r="C12" i="15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<sst xmlns="http://schemas.openxmlformats.org/spreadsheetml/2006/main" count="597" uniqueCount="252">
  <si>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</si>
  <si>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</si>
  <si>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</si>
  <si>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</si>
  <si>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</si>
  <si>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</si>
  <si>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</si>
  <si>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</si>
  <si>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</si>
  <si>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</si>
  <si>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</si>
  <si>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</si>
  <si>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</si>
  <si>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</si>
  <si>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</si>
  <si>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</si>
  <si>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</si>
  <si>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</si>
  <si>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</si>
  <si>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</si>
  <si>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</si>
  <si>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</si>
  <si>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</si>
  <si>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</si>
  <si>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</si>
  <si>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</si>
  <si>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</si>
  <si>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</si>
  <si>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</si>
  <si>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</si>
  <si>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</si>
  <si>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</si>
  <si>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</si>
  <si>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</si>
  <si>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</si>
  <si>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</si>
  <si>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</si>
  <si>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</si>
  <si>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</si>
  <si>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</si>
  <si>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</si>
  <si>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</si>
  <si>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</si>
  <si>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</si>
  <si>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</si>
  <si>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</si>
  <si>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</si>
  <si>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</si>
  <si>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</si>
  <si>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</si>
  <si>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</si>
  <si>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</si>
  <si>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</si>
  <si>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</si>
  <si>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</si>
  <si>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</si>
  <si>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</si>
  <si>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</si>
  <si>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</si>
  <si>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</si>
  <si>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</si>
  <si>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</si>
  <si>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</si>
  <si>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</si>
  <si>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</si>
  <si>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</si>
  <si>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</si>
  <si>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</si>
  <si>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</si>
  <si>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</si>
  <si>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</si>
  <si>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</si>
  <si>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</si>
  <si>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</si>
  <si>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</si>
  <si>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</si>
  <si>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</si>
  <si>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</si>
  <si>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</si>
  <si>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</si>
  <si>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</si>
  <si>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</si>
  <si>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</si>
  <si>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</si>
  <si>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</si>
  <si>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</si>
  <si>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</si>
  <si>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</si>
  <si>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</si>
  <si>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</si>
  <si>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</si>
  <si>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</si>
  <si>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</si>
  <si>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</si>
  <si>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</si>
  <si>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</si>
  <si>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</si>
  <si>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</si>
  <si>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</si>
  <si>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</si>
  <si>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</si>
  <si>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</si>
  <si>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</si>
  <si>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</si>
  <si>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</si>
  <si>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</si>
  <si>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</si>
  <si>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</si>
  <si>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</si>
  <si>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</si>
  <si>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</si>
  <si>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</si>
  <si>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</si>
  <si>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</si>
  <si>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</si>
  <si>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</si>
  <si>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</si>
  <si>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</si>
  <si>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</si>
  <si>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</si>
  <si>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</si>
  <si>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</si>
  <si>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</si>
  <si>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</si>
  <si>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</si>
  <si>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</si>
  <si>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</si>
  <si>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</si>
  <si>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</si>
  <si>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</si>
  <si>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</si>
  <si>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</si>
  <si>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</si>
  <si>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</si>
  <si>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</si>
  <si>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</si>
  <si>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</si>
  <si>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</si>
  <si>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</si>
  <si>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</si>
  <si>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</si>
  <si>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</si>
  <si>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</si>
  <si>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</si>
  <si>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</si>
  <si>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</si>
  <si>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</si>
  <si>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</si>
  <si>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</si>
  <si>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</si>
  <si>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</si>
  <si>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</si>
  <si>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</si>
  <si>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</si>
  <si>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</si>
  <si>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</si>
  <si>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</si>
  <si>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</si>
  <si>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</si>
  <si>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</si>
  <si>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</si>
  <si>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</si>
  <si>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</si>
  <si>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</si>
  <si>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</si>
  <si>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</si>
  <si>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</si>
  <si>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</si>
  <si>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</si>
  <si>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</si>
  <si>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</si>
  <si>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</si>
  <si>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</si>
  <si>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</si>
  <si>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</si>
  <si>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</si>
  <si>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</si>
  <si>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</si>
  <si>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</si>
  <si>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</si>
  <si>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</si>
  <si>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</si>
  <si>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</si>
  <si>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</si>
  <si>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</si>
  <si>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</si>
  <si>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</si>
  <si>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</si>
  <si>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</si>
  <si>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</si>
  <si>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</si>
  <si>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</si>
  <si>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</si>
  <si>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</si>
  <si>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</si>
  <si>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</si>
  <si>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</si>
  <si>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</si>
  <si>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</si>
  <si>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</si>
  <si>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</si>
  <si>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</si>
  <si>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</si>
  <si>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</si>
  <si>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</si>
  <si>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</si>
  <si>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</si>
  <si>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</si>
  <si>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</si>
  <si>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</si>
  <si>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</si>
  <si>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</si>
  <si>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</si>
  <si>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</si>
  <si>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</si>
  <si>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</si>
  <si>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</si>
  <si>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</si>
  <si>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</si>
  <si>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</si>
  <si>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</si>
  <si>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</si>
  <si>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</si>
  <si>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</si>
  <si>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</si>
  <si>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</si>
  <si>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</si>
  <si>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</si>
  <si>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</si>
  <si>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</si>
  <si>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</si>
  <si>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</si>
  <si>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</si>
  <si>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</si>
  <si>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</si>
  <si>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</si>
  <si>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</si>
  <si>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Tjenestemandspensioner</t>
  </si>
  <si>
    <t>Ingen tilknyttet virksomhed</t>
  </si>
  <si>
    <t>Ingen bortfald eller nedsættelse</t>
  </si>
  <si>
    <t xml:space="preserve">Udvidelse af forsyningsområde </t>
  </si>
  <si>
    <t xml:space="preserve">Flytning af ledninger </t>
  </si>
  <si>
    <t xml:space="preserve">Ingen engangstillæg </t>
  </si>
  <si>
    <t>Økonomisk ramme for 2024</t>
  </si>
  <si>
    <t>Investeringsomkostninger til erstatninger</t>
  </si>
  <si>
    <t>Korrektion af tidligere rammer</t>
  </si>
  <si>
    <t>Engangskorrektion vedrørende erstatninger</t>
  </si>
  <si>
    <t>Justering vedrørende erstatninger</t>
  </si>
  <si>
    <t>Boring (inkl. etablering, forerør, filter og prøvepumpning)</t>
  </si>
  <si>
    <t>30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</si>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</sst>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4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5">
      <c r="A8" s="1"/>
      <c r="B8" s="1"/>
      <c r="C8" s="4"/>
      <c r="D8" s="70" t="s">
        <v>206</v>
      </c>
      <c r="E8" s="70"/>
      <c r="F8" s="70"/>
      <c r="G8" s="70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9" t="s">
        <v>5</v>
      </c>
      <c r="E11" s="69"/>
      <c r="F11" s="69"/>
      <c r="G11" s="69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5" t="s">
        <v>151</v>
      </c>
      <c r="E13" s="66"/>
      <c r="F13" s="66"/>
      <c r="G13" s="67"/>
      <c r="H13" s="1"/>
      <c r="I13" s="1"/>
    </row>
    <row r="14" spans="1:9" x14ac:dyDescent="0.45">
      <c r="A14" s="1"/>
      <c r="B14" s="1"/>
      <c r="C14" s="6" t="s">
        <v>15</v>
      </c>
      <c r="D14" s="65" t="s">
        <v>207</v>
      </c>
      <c r="E14" s="66"/>
      <c r="F14" s="66"/>
      <c r="G14" s="67"/>
      <c r="H14" s="1"/>
      <c r="I14" s="1"/>
    </row>
    <row r="15" spans="1:9" x14ac:dyDescent="0.45">
      <c r="A15" s="1"/>
      <c r="B15" s="1"/>
      <c r="C15" s="6" t="s">
        <v>40</v>
      </c>
      <c r="D15" s="65" t="s">
        <v>93</v>
      </c>
      <c r="E15" s="66"/>
      <c r="F15" s="66"/>
      <c r="G15" s="67"/>
      <c r="H15" s="1"/>
      <c r="I15" s="1"/>
    </row>
    <row r="16" spans="1:9" x14ac:dyDescent="0.45">
      <c r="A16" s="1"/>
      <c r="B16" s="1"/>
      <c r="C16" s="6" t="s">
        <v>41</v>
      </c>
      <c r="D16" s="65" t="s">
        <v>152</v>
      </c>
      <c r="E16" s="66"/>
      <c r="F16" s="66"/>
      <c r="G16" s="67"/>
      <c r="H16" s="1"/>
      <c r="I16" s="1"/>
    </row>
    <row r="17" spans="1:9" x14ac:dyDescent="0.45">
      <c r="A17" s="1"/>
      <c r="B17" s="1"/>
      <c r="C17" s="6" t="s">
        <v>150</v>
      </c>
      <c r="D17" s="65" t="s">
        <v>153</v>
      </c>
      <c r="E17" s="66"/>
      <c r="F17" s="66"/>
      <c r="G17" s="67"/>
      <c r="H17" s="1"/>
      <c r="I17" s="1"/>
    </row>
    <row r="18" spans="1:9" x14ac:dyDescent="0.45">
      <c r="A18" s="1"/>
      <c r="B18" s="1"/>
      <c r="C18" s="33" t="s">
        <v>134</v>
      </c>
      <c r="D18" s="71" t="s">
        <v>114</v>
      </c>
      <c r="E18" s="72"/>
      <c r="F18" s="72"/>
      <c r="G18" s="73"/>
      <c r="H18" s="1"/>
      <c r="I18" s="1"/>
    </row>
    <row r="19" spans="1:9" x14ac:dyDescent="0.45">
      <c r="A19" s="1"/>
      <c r="B19" s="1"/>
      <c r="C19" s="33" t="s">
        <v>135</v>
      </c>
      <c r="D19" s="71" t="s">
        <v>115</v>
      </c>
      <c r="E19" s="72"/>
      <c r="F19" s="72"/>
      <c r="G19" s="73"/>
      <c r="H19" s="1"/>
      <c r="I19" s="1"/>
    </row>
    <row r="20" spans="1:9" x14ac:dyDescent="0.45">
      <c r="A20" s="1"/>
      <c r="B20" s="1"/>
      <c r="C20" s="33" t="s">
        <v>7</v>
      </c>
      <c r="D20" s="71" t="s">
        <v>9</v>
      </c>
      <c r="E20" s="72"/>
      <c r="F20" s="72"/>
      <c r="G20" s="73"/>
      <c r="H20" s="1"/>
      <c r="I20" s="1"/>
    </row>
    <row r="21" spans="1:9" x14ac:dyDescent="0.45">
      <c r="A21" s="1"/>
      <c r="B21" s="1"/>
      <c r="C21" s="6" t="s">
        <v>136</v>
      </c>
      <c r="D21" s="62" t="s">
        <v>12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97</v>
      </c>
      <c r="D22" s="56" t="s">
        <v>154</v>
      </c>
      <c r="E22" s="57"/>
      <c r="F22" s="57"/>
      <c r="G22" s="58"/>
      <c r="H22" s="1"/>
      <c r="I22" s="1"/>
    </row>
    <row r="23" spans="1:9" x14ac:dyDescent="0.45">
      <c r="A23" s="1"/>
      <c r="B23" s="1"/>
      <c r="C23" s="6" t="s">
        <v>8</v>
      </c>
      <c r="D23" s="56" t="s">
        <v>42</v>
      </c>
      <c r="E23" s="57"/>
      <c r="F23" s="57"/>
      <c r="G23" s="58"/>
      <c r="H23" s="1"/>
      <c r="I23" s="1"/>
    </row>
    <row r="24" spans="1:9" x14ac:dyDescent="0.45">
      <c r="A24" s="1"/>
      <c r="B24" s="1"/>
      <c r="C24" s="6" t="s">
        <v>217</v>
      </c>
      <c r="D24" s="56" t="s">
        <v>98</v>
      </c>
      <c r="E24" s="57"/>
      <c r="F24" s="57"/>
      <c r="G24" s="58"/>
      <c r="H24" s="1"/>
      <c r="I24" s="1"/>
    </row>
    <row r="25" spans="1:9" x14ac:dyDescent="0.45">
      <c r="A25" s="1"/>
      <c r="B25" s="1"/>
      <c r="C25" s="6" t="s">
        <v>218</v>
      </c>
      <c r="D25" s="56" t="s">
        <v>99</v>
      </c>
      <c r="E25" s="57"/>
      <c r="F25" s="57"/>
      <c r="G25" s="58"/>
      <c r="H25" s="1"/>
      <c r="I25" s="1"/>
    </row>
    <row r="26" spans="1:9" x14ac:dyDescent="0.45">
      <c r="A26" s="1"/>
      <c r="B26" s="1"/>
      <c r="C26" s="6" t="s">
        <v>219</v>
      </c>
      <c r="D26" s="56" t="s">
        <v>155</v>
      </c>
      <c r="E26" s="57"/>
      <c r="F26" s="57"/>
      <c r="G26" s="58"/>
      <c r="H26" s="1"/>
      <c r="I26" s="1"/>
    </row>
    <row r="27" spans="1:9" x14ac:dyDescent="0.45">
      <c r="A27" s="1"/>
      <c r="B27" s="1"/>
      <c r="C27" s="6" t="s">
        <v>137</v>
      </c>
      <c r="D27" s="56" t="s">
        <v>43</v>
      </c>
      <c r="E27" s="57"/>
      <c r="F27" s="57"/>
      <c r="G27" s="58"/>
      <c r="H27" s="1"/>
      <c r="I27" s="1"/>
    </row>
    <row r="28" spans="1:9" x14ac:dyDescent="0.45">
      <c r="A28" s="1"/>
      <c r="B28" s="1"/>
      <c r="C28" s="6" t="s">
        <v>128</v>
      </c>
      <c r="D28" s="59" t="s">
        <v>129</v>
      </c>
      <c r="E28" s="60"/>
      <c r="F28" s="60"/>
      <c r="G28" s="6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SoLC60QyqRh5RSwexWz1++hFv46XNZiglR8MdHp75u5Gqq5IFirpHDxGSRXxfyaM0mAaWhfhKLkOKLNJiYxOA==" saltValue="CgiiaZdW8ESisbRDy3crwQ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4" t="s">
        <v>140</v>
      </c>
      <c r="C3" s="74"/>
      <c r="D3" s="74"/>
      <c r="E3" s="1"/>
      <c r="F3" s="1"/>
    </row>
    <row r="4" spans="1:6" ht="15" customHeight="1" x14ac:dyDescent="0.45">
      <c r="A4" s="1"/>
      <c r="B4" s="74"/>
      <c r="C4" s="74"/>
      <c r="D4" s="7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7" t="s">
        <v>168</v>
      </c>
      <c r="C8" s="98"/>
      <c r="D8" s="99"/>
      <c r="E8" s="1"/>
      <c r="F8" s="1"/>
    </row>
    <row r="9" spans="1:6" ht="15" customHeight="1" x14ac:dyDescent="0.45">
      <c r="A9" s="1"/>
      <c r="B9" s="41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50" t="s">
        <v>234</v>
      </c>
      <c r="C10" s="9">
        <v>11045545</v>
      </c>
      <c r="D10" s="14" t="s">
        <v>3</v>
      </c>
      <c r="E10" s="1"/>
      <c r="F10" s="1"/>
    </row>
    <row r="11" spans="1:6" x14ac:dyDescent="0.45">
      <c r="A11" s="1"/>
      <c r="B11" s="50" t="s">
        <v>235</v>
      </c>
      <c r="C11" s="9">
        <v>70560</v>
      </c>
      <c r="D11" s="14" t="s">
        <v>3</v>
      </c>
      <c r="E11" s="1"/>
      <c r="F11" s="1"/>
    </row>
    <row r="12" spans="1:6" x14ac:dyDescent="0.45">
      <c r="A12" s="1"/>
      <c r="B12" s="50" t="s">
        <v>236</v>
      </c>
      <c r="C12" s="9">
        <v>41716</v>
      </c>
      <c r="D12" s="14" t="s">
        <v>3</v>
      </c>
      <c r="E12" s="1"/>
      <c r="F12" s="1"/>
    </row>
    <row r="13" spans="1:6" x14ac:dyDescent="0.45">
      <c r="A13" s="1"/>
      <c r="B13" s="50" t="s">
        <v>237</v>
      </c>
      <c r="C13" s="9">
        <v>81823</v>
      </c>
      <c r="D13" s="14" t="s">
        <v>3</v>
      </c>
      <c r="E13" s="1"/>
      <c r="F13" s="1"/>
    </row>
    <row r="14" spans="1:6" x14ac:dyDescent="0.45">
      <c r="A14" s="1"/>
      <c r="B14" s="49" t="s">
        <v>247</v>
      </c>
      <c r="C14" s="9">
        <v>63161.084879596965</v>
      </c>
      <c r="D14" s="14" t="s">
        <v>3</v>
      </c>
      <c r="E14" s="1"/>
      <c r="F14" s="1"/>
    </row>
    <row r="15" spans="1:6" x14ac:dyDescent="0.45">
      <c r="A15" s="1"/>
      <c r="B15" s="46" t="s">
        <v>169</v>
      </c>
      <c r="C15" s="12">
        <f>SUM(C10:C14)</f>
        <v>11302805.084879598</v>
      </c>
      <c r="D15" s="13" t="s">
        <v>3</v>
      </c>
      <c r="E15" s="1"/>
      <c r="F15" s="1"/>
    </row>
    <row r="16" spans="1:6" x14ac:dyDescent="0.45">
      <c r="A16" s="1"/>
      <c r="B16" s="46" t="s">
        <v>170</v>
      </c>
      <c r="C16" s="12">
        <f>C15*(1+'Fane 12. Nøgletal'!C13)^2</f>
        <v>11580275.838459494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OaRsk6RF40obfxmzG/ES3pEmPl9WOvMiAImyJM3nW6778LDkoUIiHwa//mYqOk5ZE0t40ZlCkUBN0UMsTWqNAQ==" saltValue="fqWGLMexcSRur6oS/4fb7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4" t="s">
        <v>172</v>
      </c>
      <c r="C3" s="84"/>
      <c r="D3" s="84"/>
      <c r="E3" s="84"/>
      <c r="F3" s="84"/>
      <c r="G3" s="1"/>
    </row>
    <row r="4" spans="1:7" ht="15" customHeight="1" x14ac:dyDescent="0.45">
      <c r="A4" s="1"/>
      <c r="B4" s="84"/>
      <c r="C4" s="84"/>
      <c r="D4" s="84"/>
      <c r="E4" s="84"/>
      <c r="F4" s="84"/>
      <c r="G4" s="1"/>
    </row>
    <row r="5" spans="1:7" ht="15" customHeight="1" x14ac:dyDescent="0.45">
      <c r="A5" s="1"/>
      <c r="B5" s="48"/>
      <c r="C5" s="48"/>
      <c r="D5" s="48"/>
      <c r="E5" s="48"/>
      <c r="F5" s="48"/>
      <c r="G5" s="1"/>
    </row>
    <row r="6" spans="1:7" ht="15" customHeight="1" x14ac:dyDescent="0.45">
      <c r="A6" s="1"/>
      <c r="B6" s="97" t="s">
        <v>39</v>
      </c>
      <c r="C6" s="98"/>
      <c r="D6" s="98"/>
      <c r="E6" s="98"/>
      <c r="F6" s="99"/>
      <c r="G6" s="1"/>
    </row>
    <row r="7" spans="1:7" ht="15" customHeight="1" x14ac:dyDescent="0.45">
      <c r="A7" s="1"/>
      <c r="B7" s="100" t="s">
        <v>37</v>
      </c>
      <c r="C7" s="101"/>
      <c r="D7" s="102"/>
      <c r="E7" s="9">
        <v>-1226781.3399999999</v>
      </c>
      <c r="F7" s="14" t="s">
        <v>3</v>
      </c>
      <c r="G7" s="1"/>
    </row>
    <row r="8" spans="1:7" ht="15" customHeight="1" x14ac:dyDescent="0.45">
      <c r="A8" s="1"/>
      <c r="B8" s="100" t="s">
        <v>38</v>
      </c>
      <c r="C8" s="101"/>
      <c r="D8" s="102"/>
      <c r="E8" s="9">
        <v>2560425.4934661686</v>
      </c>
      <c r="F8" s="14" t="s">
        <v>3</v>
      </c>
      <c r="G8" s="1"/>
    </row>
    <row r="9" spans="1:7" ht="15" customHeight="1" x14ac:dyDescent="0.45">
      <c r="A9" s="1"/>
      <c r="B9" s="108" t="s">
        <v>131</v>
      </c>
      <c r="C9" s="109"/>
      <c r="D9" s="110"/>
      <c r="E9" s="10">
        <f>SUM(E7:E8)</f>
        <v>1333644.1534661688</v>
      </c>
      <c r="F9" s="17" t="s">
        <v>3</v>
      </c>
      <c r="G9" s="1"/>
    </row>
    <row r="10" spans="1:7" ht="15" customHeight="1" x14ac:dyDescent="0.45">
      <c r="A10" s="1"/>
      <c r="B10" s="46"/>
      <c r="C10" s="47"/>
      <c r="D10" s="47"/>
      <c r="E10" s="47"/>
      <c r="F10" s="20"/>
      <c r="G10" s="1"/>
    </row>
    <row r="11" spans="1:7" ht="28.5" customHeight="1" x14ac:dyDescent="0.45">
      <c r="A11" s="1"/>
      <c r="B11" s="88" t="s">
        <v>132</v>
      </c>
      <c r="C11" s="89"/>
      <c r="D11" s="89"/>
      <c r="E11" s="89"/>
      <c r="F11" s="90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7" t="s">
        <v>116</v>
      </c>
      <c r="C13" s="98"/>
      <c r="D13" s="98"/>
      <c r="E13" s="98"/>
      <c r="F13" s="99"/>
      <c r="G13" s="1"/>
    </row>
    <row r="14" spans="1:7" x14ac:dyDescent="0.45">
      <c r="A14" s="1"/>
      <c r="B14" s="100" t="s">
        <v>117</v>
      </c>
      <c r="C14" s="101"/>
      <c r="D14" s="102"/>
      <c r="E14" s="9">
        <v>27913105.998268772</v>
      </c>
      <c r="F14" s="14" t="s">
        <v>3</v>
      </c>
      <c r="G14" s="1"/>
    </row>
    <row r="15" spans="1:7" x14ac:dyDescent="0.45">
      <c r="A15" s="1"/>
      <c r="B15" s="100" t="s">
        <v>118</v>
      </c>
      <c r="C15" s="101"/>
      <c r="D15" s="102"/>
      <c r="E15" s="9">
        <v>25516790</v>
      </c>
      <c r="F15" s="14" t="s">
        <v>3</v>
      </c>
      <c r="G15" s="1"/>
    </row>
    <row r="16" spans="1:7" x14ac:dyDescent="0.45">
      <c r="A16" s="1"/>
      <c r="B16" s="100" t="s">
        <v>36</v>
      </c>
      <c r="C16" s="101"/>
      <c r="D16" s="102"/>
      <c r="E16" s="9">
        <v>0</v>
      </c>
      <c r="F16" s="14" t="s">
        <v>3</v>
      </c>
      <c r="G16" s="1"/>
    </row>
    <row r="17" spans="1:7" x14ac:dyDescent="0.45">
      <c r="A17" s="1"/>
      <c r="B17" s="108" t="s">
        <v>208</v>
      </c>
      <c r="C17" s="109"/>
      <c r="D17" s="110"/>
      <c r="E17" s="10">
        <f>E14-(E15-E16)</f>
        <v>2396315.9982687719</v>
      </c>
      <c r="F17" s="17" t="s">
        <v>3</v>
      </c>
      <c r="G17" s="1"/>
    </row>
    <row r="18" spans="1:7" x14ac:dyDescent="0.45">
      <c r="A18" s="1"/>
      <c r="B18" s="46"/>
      <c r="C18" s="47"/>
      <c r="D18" s="47"/>
      <c r="E18" s="47"/>
      <c r="F18" s="20"/>
      <c r="G18" s="1"/>
    </row>
    <row r="19" spans="1:7" ht="30" customHeight="1" x14ac:dyDescent="0.45">
      <c r="A19" s="1"/>
      <c r="B19" s="88" t="s">
        <v>133</v>
      </c>
      <c r="C19" s="89"/>
      <c r="D19" s="89"/>
      <c r="E19" s="89"/>
      <c r="F19" s="90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7" t="s">
        <v>50</v>
      </c>
      <c r="C21" s="98"/>
      <c r="D21" s="98"/>
      <c r="E21" s="98"/>
      <c r="F21" s="99"/>
      <c r="G21" s="1"/>
    </row>
    <row r="22" spans="1:7" x14ac:dyDescent="0.45">
      <c r="A22" s="1"/>
      <c r="B22" s="100" t="s">
        <v>51</v>
      </c>
      <c r="C22" s="101"/>
      <c r="D22" s="102"/>
      <c r="E22" s="9">
        <v>26597855.566840131</v>
      </c>
      <c r="F22" s="14" t="s">
        <v>3</v>
      </c>
      <c r="G22" s="1"/>
    </row>
    <row r="23" spans="1:7" x14ac:dyDescent="0.45">
      <c r="A23" s="1"/>
      <c r="B23" s="100" t="s">
        <v>52</v>
      </c>
      <c r="C23" s="101"/>
      <c r="D23" s="102"/>
      <c r="E23" s="9">
        <v>28075651</v>
      </c>
      <c r="F23" s="14" t="s">
        <v>3</v>
      </c>
      <c r="G23" s="1"/>
    </row>
    <row r="24" spans="1:7" x14ac:dyDescent="0.45">
      <c r="A24" s="1"/>
      <c r="B24" s="100" t="s">
        <v>36</v>
      </c>
      <c r="C24" s="101"/>
      <c r="D24" s="102"/>
      <c r="E24" s="9">
        <v>0</v>
      </c>
      <c r="F24" s="14" t="s">
        <v>3</v>
      </c>
      <c r="G24" s="1"/>
    </row>
    <row r="25" spans="1:7" x14ac:dyDescent="0.45">
      <c r="A25" s="1"/>
      <c r="B25" s="108" t="s">
        <v>209</v>
      </c>
      <c r="C25" s="109"/>
      <c r="D25" s="110"/>
      <c r="E25" s="10">
        <f>E22-(E23-E24)</f>
        <v>-1477795.4331598692</v>
      </c>
      <c r="F25" s="17" t="s">
        <v>3</v>
      </c>
      <c r="G25" s="1"/>
    </row>
    <row r="26" spans="1:7" x14ac:dyDescent="0.45">
      <c r="A26" s="1"/>
      <c r="B26" s="46"/>
      <c r="C26" s="47"/>
      <c r="D26" s="47"/>
      <c r="E26" s="47"/>
      <c r="F26" s="20"/>
      <c r="G26" s="1"/>
    </row>
    <row r="27" spans="1:7" ht="28.5" customHeight="1" x14ac:dyDescent="0.45">
      <c r="A27" s="1"/>
      <c r="B27" s="88" t="s">
        <v>179</v>
      </c>
      <c r="C27" s="89"/>
      <c r="D27" s="89"/>
      <c r="E27" s="89"/>
      <c r="F27" s="90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7" t="s">
        <v>200</v>
      </c>
      <c r="C29" s="98"/>
      <c r="D29" s="98"/>
      <c r="E29" s="98"/>
      <c r="F29" s="99"/>
      <c r="G29" s="1"/>
    </row>
    <row r="30" spans="1:7" x14ac:dyDescent="0.45">
      <c r="A30" s="1"/>
      <c r="B30" s="100" t="s">
        <v>201</v>
      </c>
      <c r="C30" s="101"/>
      <c r="D30" s="102"/>
      <c r="E30" s="9">
        <v>27055663.383602731</v>
      </c>
      <c r="F30" s="14" t="s">
        <v>3</v>
      </c>
      <c r="G30" s="1"/>
    </row>
    <row r="31" spans="1:7" x14ac:dyDescent="0.45">
      <c r="A31" s="1"/>
      <c r="B31" s="100" t="s">
        <v>202</v>
      </c>
      <c r="C31" s="101"/>
      <c r="D31" s="102"/>
      <c r="E31" s="9">
        <v>27259740</v>
      </c>
      <c r="F31" s="14" t="s">
        <v>3</v>
      </c>
      <c r="G31" s="1"/>
    </row>
    <row r="32" spans="1:7" x14ac:dyDescent="0.45">
      <c r="A32" s="1"/>
      <c r="B32" s="100" t="s">
        <v>36</v>
      </c>
      <c r="C32" s="101"/>
      <c r="D32" s="102"/>
      <c r="E32" s="9">
        <v>0</v>
      </c>
      <c r="F32" s="14" t="s">
        <v>3</v>
      </c>
      <c r="G32" s="1"/>
    </row>
    <row r="33" spans="1:7" x14ac:dyDescent="0.45">
      <c r="A33" s="1"/>
      <c r="B33" s="108" t="s">
        <v>210</v>
      </c>
      <c r="C33" s="109"/>
      <c r="D33" s="110"/>
      <c r="E33" s="10">
        <f>E30-(E31-E32)</f>
        <v>-204076.61639726907</v>
      </c>
      <c r="F33" s="17" t="s">
        <v>3</v>
      </c>
      <c r="G33" s="1"/>
    </row>
    <row r="34" spans="1:7" x14ac:dyDescent="0.45">
      <c r="A34" s="1"/>
      <c r="B34" s="46"/>
      <c r="C34" s="47"/>
      <c r="D34" s="47"/>
      <c r="E34" s="47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7" t="s">
        <v>125</v>
      </c>
      <c r="C36" s="98"/>
      <c r="D36" s="98"/>
      <c r="E36" s="98"/>
      <c r="F36" s="99"/>
      <c r="G36" s="1"/>
    </row>
    <row r="37" spans="1:7" x14ac:dyDescent="0.45">
      <c r="A37" s="1"/>
      <c r="B37" s="111" t="s">
        <v>250</v>
      </c>
      <c r="C37" s="112"/>
      <c r="D37" s="113"/>
      <c r="E37" s="9">
        <v>1</v>
      </c>
      <c r="F37" s="14"/>
      <c r="G37" s="1"/>
    </row>
    <row r="38" spans="1:7" x14ac:dyDescent="0.45">
      <c r="A38" s="1"/>
      <c r="B38" s="111" t="s">
        <v>251</v>
      </c>
      <c r="C38" s="112"/>
      <c r="D38" s="113"/>
      <c r="E38" s="9">
        <v>0</v>
      </c>
      <c r="F38" s="14"/>
      <c r="G38" s="1"/>
    </row>
    <row r="39" spans="1:7" x14ac:dyDescent="0.45">
      <c r="A39" s="1"/>
      <c r="B39" s="111" t="s">
        <v>113</v>
      </c>
      <c r="C39" s="112"/>
      <c r="D39" s="113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0</v>
      </c>
      <c r="F39" s="14" t="s">
        <v>3</v>
      </c>
      <c r="G39" s="1"/>
    </row>
    <row r="40" spans="1:7" x14ac:dyDescent="0.45">
      <c r="A40" s="1"/>
      <c r="B40" s="111" t="s">
        <v>130</v>
      </c>
      <c r="C40" s="112"/>
      <c r="D40" s="113"/>
      <c r="E40" s="9">
        <v>2</v>
      </c>
      <c r="F40" s="14" t="s">
        <v>19</v>
      </c>
      <c r="G40" s="1"/>
    </row>
    <row r="41" spans="1:7" ht="15" customHeight="1" x14ac:dyDescent="0.45">
      <c r="A41" s="1"/>
      <c r="B41" s="114" t="s">
        <v>203</v>
      </c>
      <c r="C41" s="114"/>
      <c r="D41" s="114"/>
      <c r="E41" s="10">
        <f>E39/E40</f>
        <v>0</v>
      </c>
      <c r="F41" s="17" t="s">
        <v>3</v>
      </c>
      <c r="G41" s="1"/>
    </row>
    <row r="42" spans="1:7" x14ac:dyDescent="0.45">
      <c r="A42" s="1"/>
      <c r="B42" s="97"/>
      <c r="C42" s="98"/>
      <c r="D42" s="98"/>
      <c r="E42" s="98"/>
      <c r="F42" s="99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Xo9Da4L94oHe+sWNrsv2K5PCTx/VE405SXee7sgKvvSPmUhlV4J9WSNrOniAr5Kjm+K/GLVwbfRcGlWe6nRWiQ==" saltValue="1iHKvC1U6Zl4S4VhXZ5Yjg==" spinCount="100000" sheet="1" objects="1" scenarios="1"/>
  <mergeCells count="30"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4" t="s">
        <v>216</v>
      </c>
      <c r="C3" s="74"/>
      <c r="D3" s="74"/>
      <c r="E3" s="74"/>
      <c r="F3" s="74"/>
      <c r="G3" s="74"/>
      <c r="H3" s="74"/>
      <c r="I3" s="1"/>
    </row>
    <row r="4" spans="1:9" ht="15" customHeight="1" x14ac:dyDescent="0.4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7" t="s">
        <v>197</v>
      </c>
      <c r="C8" s="98"/>
      <c r="D8" s="98"/>
      <c r="E8" s="98"/>
      <c r="F8" s="98"/>
      <c r="G8" s="98"/>
      <c r="H8" s="99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ht="39.75" x14ac:dyDescent="0.45">
      <c r="A10" s="1"/>
      <c r="B10" s="53" t="s">
        <v>248</v>
      </c>
      <c r="C10" s="54" t="s">
        <v>249</v>
      </c>
      <c r="D10" s="9">
        <v>1071890</v>
      </c>
      <c r="E10" s="9">
        <f>IFERROR(D10/C10,0)</f>
        <v>35729.666666666664</v>
      </c>
      <c r="F10" s="9">
        <v>0</v>
      </c>
      <c r="G10" s="9">
        <v>6646</v>
      </c>
      <c r="H10" s="14" t="s">
        <v>3</v>
      </c>
      <c r="I10" s="1"/>
    </row>
    <row r="11" spans="1:9" x14ac:dyDescent="0.45">
      <c r="A11" s="1"/>
      <c r="B11" s="97" t="s">
        <v>198</v>
      </c>
      <c r="C11" s="98"/>
      <c r="D11" s="99"/>
      <c r="E11" s="12">
        <f>SUM(E10:E10)</f>
        <v>35729.666666666664</v>
      </c>
      <c r="F11" s="12">
        <f>SUM(F10:F10)</f>
        <v>0</v>
      </c>
      <c r="G11" s="12">
        <f>SUM(G10:G10)</f>
        <v>6646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Yozs1UbOor9/wUSQQ7YKAjzFAoPSzKIzH/n/9oVkL/k2VVQlzimVsMCd6ZvNS4o33ZuYVKOOJR58inp86sGnCw==" saltValue="q2whVbkiSZ34Ba3m9woor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215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94</v>
      </c>
      <c r="C8" s="47"/>
      <c r="D8" s="47"/>
      <c r="E8" s="47"/>
      <c r="F8" s="20"/>
      <c r="G8" s="1"/>
    </row>
    <row r="9" spans="1:7" ht="17.25" customHeight="1" x14ac:dyDescent="0.45">
      <c r="A9" s="1"/>
      <c r="B9" s="44" t="s">
        <v>16</v>
      </c>
      <c r="C9" s="44" t="s">
        <v>11</v>
      </c>
      <c r="D9" s="45"/>
      <c r="E9" s="44" t="s">
        <v>34</v>
      </c>
      <c r="F9" s="43"/>
      <c r="G9" s="1"/>
    </row>
    <row r="10" spans="1:7" x14ac:dyDescent="0.4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42375.666666666664</v>
      </c>
      <c r="F10" s="14" t="s">
        <v>3</v>
      </c>
      <c r="G10" s="1"/>
    </row>
    <row r="11" spans="1:7" x14ac:dyDescent="0.45">
      <c r="A11" s="1"/>
      <c r="B11" s="55" t="s">
        <v>240</v>
      </c>
      <c r="C11" s="22">
        <v>36456</v>
      </c>
      <c r="D11" s="14" t="s">
        <v>3</v>
      </c>
      <c r="E11" s="9">
        <v>11604</v>
      </c>
      <c r="F11" s="14" t="s">
        <v>3</v>
      </c>
      <c r="G11" s="1"/>
    </row>
    <row r="12" spans="1:7" x14ac:dyDescent="0.45">
      <c r="A12" s="1"/>
      <c r="B12" s="46" t="s">
        <v>48</v>
      </c>
      <c r="C12" s="12">
        <f>SUM(C10:C11)</f>
        <v>36456</v>
      </c>
      <c r="D12" s="13" t="s">
        <v>3</v>
      </c>
      <c r="E12" s="12">
        <f>SUM(E10:E11)</f>
        <v>53979.666666666664</v>
      </c>
      <c r="F12" s="13" t="s">
        <v>3</v>
      </c>
      <c r="G12" s="1"/>
    </row>
    <row r="13" spans="1:7" x14ac:dyDescent="0.45">
      <c r="A13" s="1"/>
      <c r="B13" s="46" t="s">
        <v>173</v>
      </c>
      <c r="C13" s="12">
        <f>C12*(1+'Fane 12. Nøgletal'!C13)</f>
        <v>36900.763200000001</v>
      </c>
      <c r="D13" s="13" t="s">
        <v>3</v>
      </c>
      <c r="E13" s="12">
        <f>E12*(1+'Fane 12. Nøgletal'!C13)</f>
        <v>54638.2186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54umBmVtErGailEdWYMeYhRXhrSwjzo5eePOyi/piwa56ExZQzrCgn+TJIFFrupWeobT385rQFzA7IpTgDRJEg==" saltValue="ldf5VN8P7xTbuVOfo94Nh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214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119</v>
      </c>
      <c r="C8" s="98"/>
      <c r="D8" s="98"/>
      <c r="E8" s="98"/>
      <c r="F8" s="99"/>
      <c r="G8" s="1"/>
    </row>
    <row r="9" spans="1:7" x14ac:dyDescent="0.45">
      <c r="A9" s="1"/>
      <c r="B9" s="44" t="s">
        <v>16</v>
      </c>
      <c r="C9" s="44" t="s">
        <v>11</v>
      </c>
      <c r="D9" s="45"/>
      <c r="E9" s="44" t="s">
        <v>34</v>
      </c>
      <c r="F9" s="43"/>
      <c r="G9" s="1"/>
    </row>
    <row r="10" spans="1:7" x14ac:dyDescent="0.45">
      <c r="A10" s="1"/>
      <c r="B10" s="25" t="s">
        <v>241</v>
      </c>
      <c r="C10" s="22">
        <v>29862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6" t="s">
        <v>174</v>
      </c>
      <c r="C11" s="12">
        <f>SUM(C10:C10)</f>
        <v>29862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-226.17759285944115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-597.24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6" t="s">
        <v>122</v>
      </c>
      <c r="C14" s="12">
        <f>SUM(C11:C13)*(1+'Fane 12. Nøgletal'!C13)^2</f>
        <v>29751.445920480266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7" t="s">
        <v>120</v>
      </c>
      <c r="C16" s="98"/>
      <c r="D16" s="98"/>
      <c r="E16" s="98"/>
      <c r="F16" s="99"/>
      <c r="G16" s="1"/>
    </row>
    <row r="17" spans="1:7" x14ac:dyDescent="0.45">
      <c r="A17" s="1"/>
      <c r="B17" s="44" t="s">
        <v>16</v>
      </c>
      <c r="C17" s="44" t="s">
        <v>11</v>
      </c>
      <c r="D17" s="45"/>
      <c r="E17" s="44" t="s">
        <v>34</v>
      </c>
      <c r="F17" s="43"/>
      <c r="G17" s="1"/>
    </row>
    <row r="18" spans="1:7" x14ac:dyDescent="0.45">
      <c r="A18" s="1"/>
      <c r="B18" s="25" t="s">
        <v>242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6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6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7" t="s">
        <v>121</v>
      </c>
      <c r="C24" s="98"/>
      <c r="D24" s="98"/>
      <c r="E24" s="98"/>
      <c r="F24" s="99"/>
      <c r="G24" s="1"/>
    </row>
    <row r="25" spans="1:7" x14ac:dyDescent="0.45">
      <c r="A25" s="1"/>
      <c r="B25" s="44" t="s">
        <v>16</v>
      </c>
      <c r="C25" s="44" t="s">
        <v>11</v>
      </c>
      <c r="D25" s="45"/>
      <c r="E25" s="44" t="s">
        <v>34</v>
      </c>
      <c r="F25" s="43"/>
      <c r="G25" s="1"/>
    </row>
    <row r="26" spans="1:7" x14ac:dyDescent="0.45">
      <c r="A26" s="1"/>
      <c r="B26" s="25" t="s">
        <v>242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6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6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7" t="s">
        <v>176</v>
      </c>
      <c r="C32" s="98"/>
      <c r="D32" s="98"/>
      <c r="E32" s="98"/>
      <c r="F32" s="99"/>
      <c r="G32" s="1"/>
    </row>
    <row r="33" spans="1:7" x14ac:dyDescent="0.45">
      <c r="A33" s="1"/>
      <c r="B33" s="44" t="s">
        <v>16</v>
      </c>
      <c r="C33" s="44" t="s">
        <v>11</v>
      </c>
      <c r="D33" s="45"/>
      <c r="E33" s="44" t="s">
        <v>34</v>
      </c>
      <c r="F33" s="43"/>
      <c r="G33" s="1"/>
    </row>
    <row r="34" spans="1:7" x14ac:dyDescent="0.45">
      <c r="A34" s="1"/>
      <c r="B34" s="25" t="s">
        <v>242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6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6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AguXHZE/qV8AMTTVDuqQ1h4s1Ygg9NrwJVIy33Gb9o4YIZ50EzfP/ttR9nXYgCIgpwhTyvzuMaaRwsQ4bjdmgw==" saltValue="Xlg0vrKZuDi6Z0G4vQaS/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4" t="s">
        <v>213</v>
      </c>
      <c r="C3" s="84"/>
      <c r="D3" s="84"/>
      <c r="E3" s="84"/>
      <c r="F3" s="84"/>
      <c r="G3" s="1"/>
    </row>
    <row r="4" spans="1:7" ht="25.5" customHeight="1" x14ac:dyDescent="0.45">
      <c r="A4" s="1"/>
      <c r="B4" s="84"/>
      <c r="C4" s="84"/>
      <c r="D4" s="84"/>
      <c r="E4" s="84"/>
      <c r="F4" s="8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156</v>
      </c>
      <c r="C8" s="98"/>
      <c r="D8" s="98"/>
      <c r="E8" s="98"/>
      <c r="F8" s="99"/>
      <c r="G8" s="1"/>
    </row>
    <row r="9" spans="1:7" ht="15" customHeight="1" x14ac:dyDescent="0.45">
      <c r="A9" s="1"/>
      <c r="B9" s="42" t="s">
        <v>157</v>
      </c>
      <c r="C9" s="94" t="s">
        <v>11</v>
      </c>
      <c r="D9" s="96"/>
      <c r="E9" s="94" t="s">
        <v>34</v>
      </c>
      <c r="F9" s="96"/>
      <c r="G9" s="1"/>
    </row>
    <row r="10" spans="1:7" x14ac:dyDescent="0.4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qFG3efChzFPOUq4HhmS6468S/p1GPjbaontgWoRUfy254pH2pgXBJbFkpiy4wCDn5Ewphca16nMiQWjQRxCZHg==" saltValue="1axYYm4x3guKuCHAeCGlj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4" t="s">
        <v>212</v>
      </c>
      <c r="C3" s="84"/>
      <c r="D3" s="84"/>
      <c r="E3" s="84"/>
      <c r="F3" s="84"/>
      <c r="G3" s="1"/>
    </row>
    <row r="4" spans="1:7" ht="25.5" customHeight="1" x14ac:dyDescent="0.45">
      <c r="A4" s="1"/>
      <c r="B4" s="84"/>
      <c r="C4" s="84"/>
      <c r="D4" s="84"/>
      <c r="E4" s="84"/>
      <c r="F4" s="8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7" t="s">
        <v>111</v>
      </c>
      <c r="C8" s="98"/>
      <c r="D8" s="98"/>
      <c r="E8" s="98"/>
      <c r="F8" s="99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6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6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7" t="s">
        <v>110</v>
      </c>
      <c r="C15" s="98"/>
      <c r="D15" s="98"/>
      <c r="E15" s="98"/>
      <c r="F15" s="99"/>
      <c r="G15" s="1"/>
    </row>
    <row r="16" spans="1:7" x14ac:dyDescent="0.4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4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6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6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7" t="s">
        <v>112</v>
      </c>
      <c r="C22" s="98"/>
      <c r="D22" s="98"/>
      <c r="E22" s="98"/>
      <c r="F22" s="99"/>
      <c r="G22" s="1"/>
    </row>
    <row r="23" spans="1:7" x14ac:dyDescent="0.4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4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6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6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7" t="s">
        <v>182</v>
      </c>
      <c r="C29" s="98"/>
      <c r="D29" s="98"/>
      <c r="E29" s="98"/>
      <c r="F29" s="99"/>
      <c r="G29" s="1"/>
    </row>
    <row r="30" spans="1:7" x14ac:dyDescent="0.4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4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6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6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57hIB9H2t4nD5QFrfMA4/JU/r2Gwc3l53EDOt9OU7r7rkpnvJ4wrB+yU8vagYOVpHGDVrVRtC+L4fT5j/Qtlig==" saltValue="CyCbWE2AsJhVmgaFOE+k6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4" t="s">
        <v>211</v>
      </c>
      <c r="C3" s="84"/>
      <c r="D3" s="1"/>
    </row>
    <row r="4" spans="1:4" ht="25.5" customHeight="1" x14ac:dyDescent="0.45">
      <c r="A4" s="1"/>
      <c r="B4" s="84"/>
      <c r="C4" s="8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6" t="s">
        <v>14</v>
      </c>
      <c r="C8" s="20"/>
      <c r="D8" s="1"/>
    </row>
    <row r="9" spans="1:4" x14ac:dyDescent="0.45">
      <c r="A9" s="1"/>
      <c r="B9" s="50" t="s">
        <v>141</v>
      </c>
      <c r="C9" s="26">
        <v>1.2699999999999999E-2</v>
      </c>
      <c r="D9" s="1"/>
    </row>
    <row r="10" spans="1:4" x14ac:dyDescent="0.45">
      <c r="A10" s="1"/>
      <c r="B10" s="50" t="s">
        <v>22</v>
      </c>
      <c r="C10" s="26">
        <v>1.7500000000000002E-2</v>
      </c>
      <c r="D10" s="1"/>
    </row>
    <row r="11" spans="1:4" x14ac:dyDescent="0.45">
      <c r="A11" s="1"/>
      <c r="B11" s="50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7"/>
      <c r="C14" s="99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6" t="s">
        <v>126</v>
      </c>
      <c r="C17" s="20"/>
      <c r="D17" s="1"/>
    </row>
    <row r="18" spans="1:4" x14ac:dyDescent="0.45">
      <c r="A18" s="1"/>
      <c r="B18" s="50" t="s">
        <v>143</v>
      </c>
      <c r="C18" s="23">
        <v>9.1000000000000004E-3</v>
      </c>
      <c r="D18" s="1"/>
    </row>
    <row r="19" spans="1:4" x14ac:dyDescent="0.45">
      <c r="A19" s="1"/>
      <c r="B19" s="50" t="s">
        <v>144</v>
      </c>
      <c r="C19" s="23">
        <v>1.77E-2</v>
      </c>
      <c r="D19" s="1"/>
    </row>
    <row r="20" spans="1:4" x14ac:dyDescent="0.45">
      <c r="A20" s="1"/>
      <c r="B20" s="50" t="s">
        <v>145</v>
      </c>
      <c r="C20" s="23">
        <v>8.6999999999999994E-3</v>
      </c>
      <c r="D20" s="1"/>
    </row>
    <row r="21" spans="1:4" x14ac:dyDescent="0.45">
      <c r="A21" s="1"/>
      <c r="B21" s="50" t="s">
        <v>146</v>
      </c>
      <c r="C21" s="36">
        <v>2.8400000000000002E-2</v>
      </c>
      <c r="D21" s="1"/>
    </row>
    <row r="22" spans="1:4" x14ac:dyDescent="0.45">
      <c r="A22" s="1"/>
      <c r="B22" s="50" t="s">
        <v>186</v>
      </c>
      <c r="C22" s="36">
        <v>2.75E-2</v>
      </c>
      <c r="D22" s="1"/>
    </row>
    <row r="23" spans="1:4" x14ac:dyDescent="0.45">
      <c r="A23" s="1"/>
      <c r="B23" s="46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6" t="s">
        <v>127</v>
      </c>
      <c r="C26" s="20"/>
      <c r="D26" s="1"/>
    </row>
    <row r="27" spans="1:4" x14ac:dyDescent="0.45">
      <c r="A27" s="1"/>
      <c r="B27" s="50" t="s">
        <v>147</v>
      </c>
      <c r="C27" s="26">
        <v>0.02</v>
      </c>
      <c r="D27" s="1"/>
    </row>
    <row r="28" spans="1:4" x14ac:dyDescent="0.45">
      <c r="A28" s="1"/>
      <c r="B28" s="46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LG6Lbi6UVKMlr+lAnKf9MjcnpyqDYF24SNXmRn3qWp59hRCX7faXFsg+PyIAKHk2P1SeQyTXW/P+6U7F7Uc6IQ==" saltValue="sF+HCM30w8JTNHabvf1jr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4" t="s">
        <v>161</v>
      </c>
      <c r="C3" s="74"/>
      <c r="D3" s="74"/>
      <c r="E3" s="1"/>
    </row>
    <row r="4" spans="1:5" ht="15" customHeight="1" x14ac:dyDescent="0.45">
      <c r="A4" s="1"/>
      <c r="B4" s="74"/>
      <c r="C4" s="74"/>
      <c r="D4" s="74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6" t="s">
        <v>13</v>
      </c>
      <c r="C8" s="47"/>
      <c r="D8" s="20"/>
      <c r="E8" s="1"/>
    </row>
    <row r="9" spans="1:5" x14ac:dyDescent="0.45">
      <c r="A9" s="1"/>
      <c r="B9" s="49" t="s">
        <v>25</v>
      </c>
      <c r="C9" s="7">
        <f>'Fane 3. Omkostninger i ØR2020'!E20</f>
        <v>14871164.052620046</v>
      </c>
      <c r="D9" s="8" t="s">
        <v>3</v>
      </c>
      <c r="E9" s="1"/>
    </row>
    <row r="10" spans="1:5" x14ac:dyDescent="0.45">
      <c r="A10" s="1"/>
      <c r="B10" s="49" t="s">
        <v>244</v>
      </c>
      <c r="C10" s="7">
        <v>-3442.9062131617793</v>
      </c>
      <c r="D10" s="8" t="s">
        <v>3</v>
      </c>
      <c r="E10" s="1"/>
    </row>
    <row r="11" spans="1:5" ht="17.100000000000001" customHeight="1" x14ac:dyDescent="0.45">
      <c r="A11" s="1"/>
      <c r="B11" s="31" t="s">
        <v>45</v>
      </c>
      <c r="C11" s="7">
        <f>'Fane 9.1. Varige tillæg'!C13</f>
        <v>36900.763200000001</v>
      </c>
      <c r="D11" s="8" t="s">
        <v>3</v>
      </c>
      <c r="E11" s="1"/>
    </row>
    <row r="12" spans="1:5" ht="17.100000000000001" customHeight="1" x14ac:dyDescent="0.45">
      <c r="A12" s="1"/>
      <c r="B12" s="31" t="s">
        <v>46</v>
      </c>
      <c r="C12" s="9">
        <f>'Fane 9.1. Varige tillæg'!E13</f>
        <v>54638.2186</v>
      </c>
      <c r="D12" s="8" t="s">
        <v>3</v>
      </c>
      <c r="E12" s="1"/>
    </row>
    <row r="13" spans="1:5" ht="17.100000000000001" customHeight="1" x14ac:dyDescent="0.45">
      <c r="A13" s="1"/>
      <c r="B13" s="31" t="s">
        <v>30</v>
      </c>
      <c r="C13" s="9">
        <f>-'Fane 11. Bortfald'!C12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29</v>
      </c>
      <c r="C14" s="9">
        <f>-'Fane 11. Bortfald'!E12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159</v>
      </c>
      <c r="C15" s="9">
        <f>'Fane 10. Tilknyttet virksomhed'!C12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160</v>
      </c>
      <c r="C16" s="9">
        <f>'Fane 10. Tilknyttet virksomhed'!E12</f>
        <v>0</v>
      </c>
      <c r="D16" s="8" t="s">
        <v>3</v>
      </c>
      <c r="E16" s="1"/>
    </row>
    <row r="17" spans="1:5" ht="17.100000000000001" customHeight="1" x14ac:dyDescent="0.45">
      <c r="A17" s="1"/>
      <c r="B17" s="31" t="s">
        <v>18</v>
      </c>
      <c r="C17" s="9">
        <f>SUM(C9:C16)*'Fane 12. Nøgletal'!C13</f>
        <v>182502.97356412397</v>
      </c>
      <c r="D17" s="8" t="s">
        <v>3</v>
      </c>
      <c r="E17" s="1"/>
    </row>
    <row r="18" spans="1:5" ht="17.100000000000001" customHeight="1" x14ac:dyDescent="0.45">
      <c r="A18" s="1"/>
      <c r="B18" s="31" t="s">
        <v>9</v>
      </c>
      <c r="C18" s="9">
        <f>-SUM(C9:C17)*'Fane 5. Individuelt eff. krav'!G10</f>
        <v>-114685.13595896027</v>
      </c>
      <c r="D18" s="8" t="s">
        <v>3</v>
      </c>
      <c r="E18" s="1"/>
    </row>
    <row r="19" spans="1:5" ht="17.100000000000001" customHeight="1" x14ac:dyDescent="0.45">
      <c r="A19" s="1"/>
      <c r="B19" s="31" t="s">
        <v>27</v>
      </c>
      <c r="C19" s="9">
        <f>-'Fane 4.1. Gen. krav - drift'!G31</f>
        <v>-148535.29537454291</v>
      </c>
      <c r="D19" s="8" t="s">
        <v>3</v>
      </c>
      <c r="E19" s="1"/>
    </row>
    <row r="20" spans="1:5" ht="17.100000000000001" customHeight="1" x14ac:dyDescent="0.45">
      <c r="A20" s="1"/>
      <c r="B20" s="31" t="s">
        <v>28</v>
      </c>
      <c r="C20" s="9">
        <f>-'Fane 4.2. Gen. krav - anlæg'!G31</f>
        <v>-235401.31903965928</v>
      </c>
      <c r="D20" s="8" t="s">
        <v>3</v>
      </c>
      <c r="E20" s="1"/>
    </row>
    <row r="21" spans="1:5" ht="17.100000000000001" customHeight="1" x14ac:dyDescent="0.45">
      <c r="A21" s="1"/>
      <c r="B21" s="51" t="s">
        <v>20</v>
      </c>
      <c r="C21" s="10">
        <f>SUM(C9:C20)</f>
        <v>14643141.351397844</v>
      </c>
      <c r="D21" s="11" t="s">
        <v>3</v>
      </c>
      <c r="E21" s="1"/>
    </row>
    <row r="22" spans="1:5" ht="15" customHeight="1" x14ac:dyDescent="0.45">
      <c r="A22" s="1"/>
      <c r="B22" s="46" t="s">
        <v>12</v>
      </c>
      <c r="C22" s="47"/>
      <c r="D22" s="20"/>
      <c r="E22" s="1"/>
    </row>
    <row r="23" spans="1:5" ht="15" customHeight="1" x14ac:dyDescent="0.45">
      <c r="A23" s="1"/>
      <c r="B23" s="42" t="s">
        <v>12</v>
      </c>
      <c r="C23" s="10">
        <f>'Fane 6. Ikke-påvirkelige omk.'!C16</f>
        <v>11580275.838459494</v>
      </c>
      <c r="D23" s="11" t="s">
        <v>3</v>
      </c>
      <c r="E23" s="1"/>
    </row>
    <row r="24" spans="1:5" ht="15" customHeight="1" x14ac:dyDescent="0.45">
      <c r="A24" s="1"/>
      <c r="B24" s="46" t="s">
        <v>99</v>
      </c>
      <c r="C24" s="47"/>
      <c r="D24" s="20"/>
      <c r="E24" s="1"/>
    </row>
    <row r="25" spans="1:5" ht="15" customHeight="1" x14ac:dyDescent="0.45">
      <c r="A25" s="1"/>
      <c r="B25" s="31" t="s">
        <v>95</v>
      </c>
      <c r="C25" s="9">
        <f>'Fane 9.2. Engangstillæg'!C14</f>
        <v>29751.445920480266</v>
      </c>
      <c r="D25" s="8" t="s">
        <v>3</v>
      </c>
      <c r="E25" s="1"/>
    </row>
    <row r="26" spans="1:5" ht="15" customHeight="1" x14ac:dyDescent="0.45">
      <c r="A26" s="1"/>
      <c r="B26" s="31" t="s">
        <v>96</v>
      </c>
      <c r="C26" s="9">
        <f>'Fane 9.2. Engangstillæg'!E14</f>
        <v>0</v>
      </c>
      <c r="D26" s="8" t="s">
        <v>3</v>
      </c>
      <c r="E26" s="1"/>
    </row>
    <row r="27" spans="1:5" x14ac:dyDescent="0.45">
      <c r="A27" s="1"/>
      <c r="B27" s="51" t="s">
        <v>100</v>
      </c>
      <c r="C27" s="10">
        <f>SUM(C25:C26)</f>
        <v>29751.445920480266</v>
      </c>
      <c r="D27" s="11" t="s">
        <v>3</v>
      </c>
      <c r="E27" s="1"/>
    </row>
    <row r="28" spans="1:5" ht="15" customHeight="1" x14ac:dyDescent="0.45">
      <c r="A28" s="1"/>
      <c r="B28" s="38" t="s">
        <v>204</v>
      </c>
      <c r="C28" s="47"/>
      <c r="D28" s="20"/>
      <c r="E28" s="1"/>
    </row>
    <row r="29" spans="1:5" x14ac:dyDescent="0.45">
      <c r="A29" s="1"/>
      <c r="B29" s="39" t="s">
        <v>205</v>
      </c>
      <c r="C29" s="10">
        <f>'Fane 7. Kontrol af ØR2019'!E41</f>
        <v>0</v>
      </c>
      <c r="D29" s="11" t="s">
        <v>3</v>
      </c>
      <c r="E29" s="1"/>
    </row>
    <row r="30" spans="1:5" x14ac:dyDescent="0.45">
      <c r="A30" s="1"/>
      <c r="B30" s="38" t="s">
        <v>245</v>
      </c>
      <c r="C30" s="47"/>
      <c r="D30" s="20"/>
      <c r="E30" s="1"/>
    </row>
    <row r="31" spans="1:5" x14ac:dyDescent="0.45">
      <c r="A31" s="1"/>
      <c r="B31" s="39" t="s">
        <v>246</v>
      </c>
      <c r="C31" s="10">
        <v>122.31293670503611</v>
      </c>
      <c r="D31" s="11" t="s">
        <v>3</v>
      </c>
      <c r="E31" s="1"/>
    </row>
    <row r="32" spans="1:5" x14ac:dyDescent="0.45">
      <c r="A32" s="1"/>
      <c r="B32" s="46" t="s">
        <v>31</v>
      </c>
      <c r="C32" s="32">
        <f>SUM(C21,C23,C27,C29,C31)</f>
        <v>26253290.948714521</v>
      </c>
      <c r="D32" s="20" t="s">
        <v>3</v>
      </c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ogsAxMHbGF/GVlVZLGKai9fEVoXkJcW++y1xMnO1JTdgP3uEJ3s0sv0/Uz8ltPhByAxzzATEjlBOrXjE+Co2Ig==" saltValue="BEVIK44L3GUqhrAEdMV14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4" t="s">
        <v>162</v>
      </c>
      <c r="C3" s="74"/>
      <c r="D3" s="74"/>
      <c r="E3" s="1"/>
    </row>
    <row r="4" spans="1:5" ht="15" customHeight="1" x14ac:dyDescent="0.45">
      <c r="A4" s="1"/>
      <c r="B4" s="74"/>
      <c r="C4" s="74"/>
      <c r="D4" s="74"/>
      <c r="E4" s="1"/>
    </row>
    <row r="5" spans="1:5" x14ac:dyDescent="0.45">
      <c r="A5" s="1"/>
      <c r="B5" s="75"/>
      <c r="C5" s="75"/>
      <c r="D5" s="75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6" t="s">
        <v>13</v>
      </c>
      <c r="C8" s="47"/>
      <c r="D8" s="20"/>
      <c r="E8" s="1"/>
    </row>
    <row r="9" spans="1:5" ht="15" customHeight="1" x14ac:dyDescent="0.45">
      <c r="A9" s="1"/>
      <c r="B9" s="49" t="s">
        <v>26</v>
      </c>
      <c r="C9" s="7">
        <f>'Fane 2.1. Økonomisk ramme 2021'!C21</f>
        <v>14643141.351397844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40" t="s">
        <v>18</v>
      </c>
      <c r="C12" s="9">
        <f>SUM(C9:C11)*'Fane 12. Nøgletal'!C13</f>
        <v>178646.3244870537</v>
      </c>
      <c r="D12" s="8" t="s">
        <v>3</v>
      </c>
      <c r="E12" s="1"/>
    </row>
    <row r="13" spans="1:5" ht="15" customHeight="1" x14ac:dyDescent="0.45">
      <c r="A13" s="1"/>
      <c r="B13" s="40" t="s">
        <v>9</v>
      </c>
      <c r="C13" s="9">
        <f>-SUM(C9:C12)*'Fane 5. Individuelt eff. krav'!G10</f>
        <v>-112261.61202884525</v>
      </c>
      <c r="D13" s="8" t="s">
        <v>3</v>
      </c>
      <c r="E13" s="1"/>
    </row>
    <row r="14" spans="1:5" ht="15" customHeight="1" x14ac:dyDescent="0.45">
      <c r="A14" s="1"/>
      <c r="B14" s="40" t="s">
        <v>27</v>
      </c>
      <c r="C14" s="9">
        <f>-'Fane 4.1. Gen. krav - drift'!G37</f>
        <v>-147340.4774585501</v>
      </c>
      <c r="D14" s="8" t="s">
        <v>3</v>
      </c>
      <c r="E14" s="1"/>
    </row>
    <row r="15" spans="1:5" ht="15" customHeight="1" x14ac:dyDescent="0.45">
      <c r="A15" s="1"/>
      <c r="B15" s="40" t="s">
        <v>28</v>
      </c>
      <c r="C15" s="9">
        <f>-'Fane 4.2. Gen. krav - anlæg'!G37</f>
        <v>-231720.70171581471</v>
      </c>
      <c r="D15" s="8" t="s">
        <v>3</v>
      </c>
      <c r="E15" s="1"/>
    </row>
    <row r="16" spans="1:5" ht="15" customHeight="1" x14ac:dyDescent="0.45">
      <c r="A16" s="1"/>
      <c r="B16" s="41" t="s">
        <v>20</v>
      </c>
      <c r="C16" s="10">
        <f>SUM(C9:C15)</f>
        <v>14330464.884681689</v>
      </c>
      <c r="D16" s="11" t="s">
        <v>3</v>
      </c>
      <c r="E16" s="1"/>
    </row>
    <row r="17" spans="1:5" x14ac:dyDescent="0.45">
      <c r="A17" s="1"/>
      <c r="B17" s="46" t="s">
        <v>12</v>
      </c>
      <c r="C17" s="47"/>
      <c r="D17" s="20"/>
      <c r="E17" s="1"/>
    </row>
    <row r="18" spans="1:5" ht="15" customHeight="1" x14ac:dyDescent="0.45">
      <c r="A18" s="1"/>
      <c r="B18" s="42" t="s">
        <v>12</v>
      </c>
      <c r="C18" s="10">
        <f>'Fane 6. Ikke-påvirkelige omk.'!C16*(1+'Fane 12. Nøgletal'!C13)</f>
        <v>11721555.2036887</v>
      </c>
      <c r="D18" s="11" t="s">
        <v>3</v>
      </c>
      <c r="E18" s="1"/>
    </row>
    <row r="19" spans="1:5" ht="15" customHeight="1" x14ac:dyDescent="0.45">
      <c r="A19" s="1"/>
      <c r="B19" s="46" t="s">
        <v>99</v>
      </c>
      <c r="C19" s="47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1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7"/>
      <c r="D23" s="20"/>
      <c r="E23" s="1"/>
    </row>
    <row r="24" spans="1:5" ht="15" customHeight="1" x14ac:dyDescent="0.45">
      <c r="A24" s="1"/>
      <c r="B24" s="52" t="s">
        <v>205</v>
      </c>
      <c r="C24" s="10">
        <f>'Fane 7. Kontrol af ØR2019'!E41</f>
        <v>0</v>
      </c>
      <c r="D24" s="11" t="s">
        <v>3</v>
      </c>
      <c r="E24" s="1"/>
    </row>
    <row r="25" spans="1:5" x14ac:dyDescent="0.45">
      <c r="A25" s="1"/>
      <c r="B25" s="46" t="s">
        <v>32</v>
      </c>
      <c r="C25" s="12">
        <f>SUM(C16,C18,C22,C24)</f>
        <v>26052020.08837039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DbgBJ0bPP2xtLzkUQgRqjKisanZDVa8bdEFyFZrYUpLrwWwkzgfG7gZBSaS2uPuv09RjjoC1+s0kZ8QBsEomjw==" saltValue="YeBGXHcJxl7G8tCVwuVG/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4" t="s">
        <v>163</v>
      </c>
      <c r="C3" s="74"/>
      <c r="D3" s="74"/>
      <c r="E3" s="1"/>
    </row>
    <row r="4" spans="1:5" ht="15" customHeight="1" x14ac:dyDescent="0.45">
      <c r="A4" s="1"/>
      <c r="B4" s="74"/>
      <c r="C4" s="74"/>
      <c r="D4" s="74"/>
      <c r="E4" s="1"/>
    </row>
    <row r="5" spans="1:5" x14ac:dyDescent="0.45">
      <c r="A5" s="1"/>
      <c r="B5" s="75" t="s">
        <v>21</v>
      </c>
      <c r="C5" s="75"/>
      <c r="D5" s="75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6" t="s">
        <v>13</v>
      </c>
      <c r="C7" s="47"/>
      <c r="D7" s="20"/>
      <c r="E7" s="1"/>
    </row>
    <row r="8" spans="1:5" ht="15" customHeight="1" x14ac:dyDescent="0.45">
      <c r="A8" s="1"/>
      <c r="B8" s="49" t="s">
        <v>165</v>
      </c>
      <c r="C8" s="7">
        <f>'Fane 2.2. Økonomisk ramme 2022'!C16</f>
        <v>14330464.884681689</v>
      </c>
      <c r="D8" s="8" t="s">
        <v>3</v>
      </c>
      <c r="E8" s="1"/>
    </row>
    <row r="9" spans="1:5" ht="15" customHeight="1" x14ac:dyDescent="0.45">
      <c r="A9" s="1"/>
      <c r="B9" s="49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9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0" t="s">
        <v>18</v>
      </c>
      <c r="C11" s="9">
        <f>SUM(C8:C10)*'Fane 12. Nøgletal'!C13</f>
        <v>174831.67159311663</v>
      </c>
      <c r="D11" s="8" t="s">
        <v>3</v>
      </c>
      <c r="E11" s="1"/>
    </row>
    <row r="12" spans="1:5" ht="15" customHeight="1" x14ac:dyDescent="0.45">
      <c r="A12" s="1"/>
      <c r="B12" s="40" t="s">
        <v>9</v>
      </c>
      <c r="C12" s="9">
        <f>-SUM(C8:C11)*'Fane 5. Individuelt eff. krav'!G10</f>
        <v>-109864.47856173654</v>
      </c>
      <c r="D12" s="8" t="s">
        <v>3</v>
      </c>
      <c r="E12" s="1"/>
    </row>
    <row r="13" spans="1:5" ht="15" customHeight="1" x14ac:dyDescent="0.45">
      <c r="A13" s="1"/>
      <c r="B13" s="40" t="s">
        <v>27</v>
      </c>
      <c r="C13" s="9">
        <f>-'Fane 4.1. Gen. krav - drift'!G43</f>
        <v>-146155.27065787354</v>
      </c>
      <c r="D13" s="8" t="s">
        <v>3</v>
      </c>
      <c r="E13" s="1"/>
    </row>
    <row r="14" spans="1:5" ht="15" customHeight="1" x14ac:dyDescent="0.45">
      <c r="A14" s="1"/>
      <c r="B14" s="40" t="s">
        <v>28</v>
      </c>
      <c r="C14" s="9">
        <f>-'Fane 4.2. Gen. krav - anlæg'!G43</f>
        <v>-228097.63268413706</v>
      </c>
      <c r="D14" s="8" t="s">
        <v>3</v>
      </c>
      <c r="E14" s="1"/>
    </row>
    <row r="15" spans="1:5" x14ac:dyDescent="0.45">
      <c r="A15" s="1"/>
      <c r="B15" s="41" t="s">
        <v>20</v>
      </c>
      <c r="C15" s="10">
        <f>SUM(C8:C14)</f>
        <v>14021179.174371058</v>
      </c>
      <c r="D15" s="11" t="s">
        <v>3</v>
      </c>
      <c r="E15" s="1"/>
    </row>
    <row r="16" spans="1:5" x14ac:dyDescent="0.45">
      <c r="A16" s="1"/>
      <c r="B16" s="46" t="s">
        <v>12</v>
      </c>
      <c r="C16" s="47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omk.'!C16*(1+'Fane 12. Nøgletal'!C13)^2</f>
        <v>11864558.177173702</v>
      </c>
      <c r="D17" s="11" t="s">
        <v>3</v>
      </c>
      <c r="E17" s="1"/>
    </row>
    <row r="18" spans="1:5" ht="15" customHeight="1" x14ac:dyDescent="0.45">
      <c r="A18" s="1"/>
      <c r="B18" s="46" t="s">
        <v>99</v>
      </c>
      <c r="C18" s="47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1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6" t="s">
        <v>109</v>
      </c>
      <c r="C22" s="12">
        <f>SUM(C15,C17,C21)</f>
        <v>25885737.35154476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e1su8mm2mD1bCvxl3fieBAM+BVhNuu5NngUdtr8+6NVNhmddAGqap9XhrDAynIOpFOJJos++OfxYUXAzKv4Iew==" saltValue="J4T/Vcna+WrnQdyaueReV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4" t="s">
        <v>164</v>
      </c>
      <c r="C3" s="74"/>
      <c r="D3" s="74"/>
      <c r="E3" s="1"/>
    </row>
    <row r="4" spans="1:5" ht="15" customHeight="1" x14ac:dyDescent="0.45">
      <c r="A4" s="1"/>
      <c r="B4" s="74"/>
      <c r="C4" s="74"/>
      <c r="D4" s="74"/>
      <c r="E4" s="1"/>
    </row>
    <row r="5" spans="1:5" x14ac:dyDescent="0.45">
      <c r="A5" s="1"/>
      <c r="B5" s="75" t="s">
        <v>21</v>
      </c>
      <c r="C5" s="75"/>
      <c r="D5" s="75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6" t="s">
        <v>13</v>
      </c>
      <c r="C7" s="47"/>
      <c r="D7" s="20"/>
      <c r="E7" s="1"/>
    </row>
    <row r="8" spans="1:5" ht="15" customHeight="1" x14ac:dyDescent="0.45">
      <c r="A8" s="1"/>
      <c r="B8" s="49" t="s">
        <v>166</v>
      </c>
      <c r="C8" s="7">
        <f>'Fane 2.3. Økonomisk ramme 2023'!C15</f>
        <v>14021179.174371058</v>
      </c>
      <c r="D8" s="8" t="s">
        <v>3</v>
      </c>
      <c r="E8" s="1"/>
    </row>
    <row r="9" spans="1:5" ht="15" customHeight="1" x14ac:dyDescent="0.45">
      <c r="A9" s="1"/>
      <c r="B9" s="49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9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0" t="s">
        <v>18</v>
      </c>
      <c r="C11" s="9">
        <f>SUM(C8:C10)*'Fane 12. Nøgletal'!C13</f>
        <v>171058.38592732692</v>
      </c>
      <c r="D11" s="8" t="s">
        <v>3</v>
      </c>
      <c r="E11" s="1"/>
    </row>
    <row r="12" spans="1:5" ht="15" customHeight="1" x14ac:dyDescent="0.45">
      <c r="A12" s="1"/>
      <c r="B12" s="40" t="s">
        <v>9</v>
      </c>
      <c r="C12" s="9">
        <f>-SUM(C8:C11)*'Fane 5. Individuelt eff. krav'!G10</f>
        <v>-107493.34032139966</v>
      </c>
      <c r="D12" s="8" t="s">
        <v>3</v>
      </c>
      <c r="E12" s="1"/>
    </row>
    <row r="13" spans="1:5" ht="15" customHeight="1" x14ac:dyDescent="0.45">
      <c r="A13" s="1"/>
      <c r="B13" s="40" t="s">
        <v>27</v>
      </c>
      <c r="C13" s="9">
        <f>-'Fane 4.1. Gen. krav - drift'!G49</f>
        <v>-144979.59766070161</v>
      </c>
      <c r="D13" s="8" t="s">
        <v>3</v>
      </c>
      <c r="E13" s="1"/>
    </row>
    <row r="14" spans="1:5" ht="15" customHeight="1" x14ac:dyDescent="0.45">
      <c r="A14" s="1"/>
      <c r="B14" s="40" t="s">
        <v>28</v>
      </c>
      <c r="C14" s="9">
        <f>-'Fane 4.2. Gen. krav - anlæg'!G49</f>
        <v>-224531.21214830424</v>
      </c>
      <c r="D14" s="8" t="s">
        <v>3</v>
      </c>
      <c r="E14" s="1"/>
    </row>
    <row r="15" spans="1:5" x14ac:dyDescent="0.45">
      <c r="A15" s="1"/>
      <c r="B15" s="41" t="s">
        <v>20</v>
      </c>
      <c r="C15" s="10">
        <f>SUM(C8:C14)</f>
        <v>13715233.410167979</v>
      </c>
      <c r="D15" s="11" t="s">
        <v>3</v>
      </c>
      <c r="E15" s="1"/>
    </row>
    <row r="16" spans="1:5" x14ac:dyDescent="0.45">
      <c r="A16" s="1"/>
      <c r="B16" s="46" t="s">
        <v>12</v>
      </c>
      <c r="C16" s="47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omk.'!C16*(1+'Fane 12. Nøgletal'!C13)^3</f>
        <v>12009305.786935221</v>
      </c>
      <c r="D17" s="11" t="s">
        <v>3</v>
      </c>
      <c r="E17" s="1"/>
    </row>
    <row r="18" spans="1:5" ht="15" customHeight="1" x14ac:dyDescent="0.45">
      <c r="A18" s="1"/>
      <c r="B18" s="46" t="s">
        <v>99</v>
      </c>
      <c r="C18" s="47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1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6" t="s">
        <v>243</v>
      </c>
      <c r="C22" s="12">
        <f>SUM(C15,C17,C21)</f>
        <v>25724539.197103202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cWeGiX/c6bqTsxaragc+x883zKzfLrSWUKKyOO26TYUwKEc3WMWsGpZHf58MaM+oswzi4VdhWQlz/jXFdbWyvA==" saltValue="LYEJjzgrceJvzyX/OgBJ8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4" t="s">
        <v>180</v>
      </c>
      <c r="C3" s="84"/>
      <c r="D3" s="84"/>
      <c r="E3" s="84"/>
      <c r="F3" s="84"/>
      <c r="G3" s="1"/>
    </row>
    <row r="4" spans="1:7" ht="29.25" customHeight="1" x14ac:dyDescent="0.45">
      <c r="A4" s="1"/>
      <c r="B4" s="84"/>
      <c r="C4" s="84"/>
      <c r="D4" s="84"/>
      <c r="E4" s="84"/>
      <c r="F4" s="8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167</v>
      </c>
      <c r="C8" s="47"/>
      <c r="D8" s="47"/>
      <c r="E8" s="47"/>
      <c r="F8" s="20"/>
      <c r="G8" s="1"/>
    </row>
    <row r="9" spans="1:7" x14ac:dyDescent="0.45">
      <c r="A9" s="1"/>
      <c r="B9" s="85" t="s">
        <v>23</v>
      </c>
      <c r="C9" s="86"/>
      <c r="D9" s="87"/>
      <c r="E9" s="7">
        <v>14890940.773437651</v>
      </c>
      <c r="F9" s="8" t="s">
        <v>3</v>
      </c>
      <c r="G9" s="1"/>
    </row>
    <row r="10" spans="1:7" ht="15" customHeight="1" x14ac:dyDescent="0.45">
      <c r="A10" s="1"/>
      <c r="B10" s="76" t="s">
        <v>45</v>
      </c>
      <c r="C10" s="77"/>
      <c r="D10" s="78"/>
      <c r="E10" s="7">
        <v>134379.1251</v>
      </c>
      <c r="F10" s="8" t="s">
        <v>3</v>
      </c>
      <c r="G10" s="1"/>
    </row>
    <row r="11" spans="1:7" ht="15" customHeight="1" x14ac:dyDescent="0.45">
      <c r="A11" s="1"/>
      <c r="B11" s="76" t="s">
        <v>46</v>
      </c>
      <c r="C11" s="77"/>
      <c r="D11" s="78"/>
      <c r="E11" s="9">
        <v>21801.186000000002</v>
      </c>
      <c r="F11" s="8" t="s">
        <v>3</v>
      </c>
      <c r="G11" s="1"/>
    </row>
    <row r="12" spans="1:7" x14ac:dyDescent="0.45">
      <c r="A12" s="1"/>
      <c r="B12" s="76" t="s">
        <v>30</v>
      </c>
      <c r="C12" s="77"/>
      <c r="D12" s="78"/>
      <c r="E12" s="9">
        <v>0</v>
      </c>
      <c r="F12" s="8" t="s">
        <v>3</v>
      </c>
      <c r="G12" s="1"/>
    </row>
    <row r="13" spans="1:7" x14ac:dyDescent="0.45">
      <c r="A13" s="1"/>
      <c r="B13" s="76" t="s">
        <v>29</v>
      </c>
      <c r="C13" s="77"/>
      <c r="D13" s="78"/>
      <c r="E13" s="9">
        <v>0</v>
      </c>
      <c r="F13" s="8" t="s">
        <v>3</v>
      </c>
      <c r="G13" s="1"/>
    </row>
    <row r="14" spans="1:7" x14ac:dyDescent="0.45">
      <c r="A14" s="1"/>
      <c r="B14" s="76" t="s">
        <v>159</v>
      </c>
      <c r="C14" s="77"/>
      <c r="D14" s="78"/>
      <c r="E14" s="9">
        <v>0</v>
      </c>
      <c r="F14" s="8" t="s">
        <v>3</v>
      </c>
      <c r="G14" s="1"/>
    </row>
    <row r="15" spans="1:7" x14ac:dyDescent="0.45">
      <c r="A15" s="1"/>
      <c r="B15" s="76" t="s">
        <v>160</v>
      </c>
      <c r="C15" s="77"/>
      <c r="D15" s="78"/>
      <c r="E15" s="9">
        <v>0</v>
      </c>
      <c r="F15" s="8" t="s">
        <v>3</v>
      </c>
      <c r="G15" s="1"/>
    </row>
    <row r="16" spans="1:7" x14ac:dyDescent="0.45">
      <c r="A16" s="1"/>
      <c r="B16" s="76" t="s">
        <v>18</v>
      </c>
      <c r="C16" s="77"/>
      <c r="D16" s="78"/>
      <c r="E16" s="9">
        <f>E9*'Fane 12. Nøgletal'!C11+SUM(E10:E15)*'Fane 12. Nøgletal'!C12</f>
        <v>254733.65119976626</v>
      </c>
      <c r="F16" s="8" t="s">
        <v>3</v>
      </c>
      <c r="G16" s="1"/>
    </row>
    <row r="17" spans="1:7" x14ac:dyDescent="0.45">
      <c r="A17" s="1"/>
      <c r="B17" s="76" t="s">
        <v>9</v>
      </c>
      <c r="C17" s="77"/>
      <c r="D17" s="78"/>
      <c r="E17" s="9">
        <f>-SUM(E9:E16)*'Fane 5. Individuelt eff. krav'!G9</f>
        <v>-207521.17096553266</v>
      </c>
      <c r="F17" s="8" t="s">
        <v>3</v>
      </c>
      <c r="G17" s="1"/>
    </row>
    <row r="18" spans="1:7" x14ac:dyDescent="0.45">
      <c r="A18" s="1"/>
      <c r="B18" s="76" t="s">
        <v>27</v>
      </c>
      <c r="C18" s="77"/>
      <c r="D18" s="78"/>
      <c r="E18" s="9">
        <f>-'Fane 4.1. Gen. krav - drift'!G25</f>
        <v>-148986.7255446029</v>
      </c>
      <c r="F18" s="8" t="s">
        <v>3</v>
      </c>
      <c r="G18" s="1"/>
    </row>
    <row r="19" spans="1:7" x14ac:dyDescent="0.45">
      <c r="A19" s="1"/>
      <c r="B19" s="76" t="s">
        <v>28</v>
      </c>
      <c r="C19" s="77"/>
      <c r="D19" s="78"/>
      <c r="E19" s="9">
        <f>-'Fane 4.2. Gen. krav - anlæg'!G25</f>
        <v>-74182.786607235801</v>
      </c>
      <c r="F19" s="8" t="s">
        <v>3</v>
      </c>
      <c r="G19" s="1"/>
    </row>
    <row r="20" spans="1:7" x14ac:dyDescent="0.45">
      <c r="A20" s="1"/>
      <c r="B20" s="91" t="s">
        <v>20</v>
      </c>
      <c r="C20" s="92"/>
      <c r="D20" s="93"/>
      <c r="E20" s="10">
        <f>SUM(E9:E19)</f>
        <v>14871164.052620046</v>
      </c>
      <c r="F20" s="11" t="s">
        <v>3</v>
      </c>
      <c r="G20" s="1"/>
    </row>
    <row r="21" spans="1:7" x14ac:dyDescent="0.45">
      <c r="A21" s="1"/>
      <c r="B21" s="79" t="s">
        <v>12</v>
      </c>
      <c r="C21" s="80"/>
      <c r="D21" s="80"/>
      <c r="E21" s="47"/>
      <c r="F21" s="20"/>
      <c r="G21" s="1"/>
    </row>
    <row r="22" spans="1:7" x14ac:dyDescent="0.45">
      <c r="A22" s="1"/>
      <c r="B22" s="81" t="s">
        <v>12</v>
      </c>
      <c r="C22" s="82"/>
      <c r="D22" s="83"/>
      <c r="E22" s="10">
        <v>11759594.66118063</v>
      </c>
      <c r="F22" s="11" t="s">
        <v>3</v>
      </c>
      <c r="G22" s="1"/>
    </row>
    <row r="23" spans="1:7" ht="15" customHeight="1" x14ac:dyDescent="0.45">
      <c r="A23" s="1"/>
      <c r="B23" s="79" t="s">
        <v>99</v>
      </c>
      <c r="C23" s="80"/>
      <c r="D23" s="80"/>
      <c r="E23" s="47"/>
      <c r="F23" s="47"/>
      <c r="G23" s="1"/>
    </row>
    <row r="24" spans="1:7" ht="14.25" customHeight="1" x14ac:dyDescent="0.45">
      <c r="A24" s="1"/>
      <c r="B24" s="88" t="s">
        <v>95</v>
      </c>
      <c r="C24" s="89"/>
      <c r="D24" s="90"/>
      <c r="E24" s="9">
        <v>0</v>
      </c>
      <c r="F24" s="8" t="s">
        <v>3</v>
      </c>
      <c r="G24" s="1"/>
    </row>
    <row r="25" spans="1:7" ht="14.25" customHeight="1" x14ac:dyDescent="0.45">
      <c r="A25" s="1"/>
      <c r="B25" s="88" t="s">
        <v>96</v>
      </c>
      <c r="C25" s="89"/>
      <c r="D25" s="90"/>
      <c r="E25" s="9">
        <v>0</v>
      </c>
      <c r="F25" s="8" t="s">
        <v>3</v>
      </c>
      <c r="G25" s="1"/>
    </row>
    <row r="26" spans="1:7" x14ac:dyDescent="0.45">
      <c r="A26" s="1"/>
      <c r="B26" s="94" t="s">
        <v>100</v>
      </c>
      <c r="C26" s="95"/>
      <c r="D26" s="95"/>
      <c r="E26" s="10">
        <v>0</v>
      </c>
      <c r="F26" s="11" t="s">
        <v>3</v>
      </c>
      <c r="G26" s="1"/>
    </row>
    <row r="27" spans="1:7" ht="14.25" customHeight="1" x14ac:dyDescent="0.45">
      <c r="A27" s="1"/>
      <c r="B27" s="46" t="s">
        <v>228</v>
      </c>
      <c r="C27" s="47"/>
      <c r="D27" s="47"/>
      <c r="E27" s="47"/>
      <c r="F27" s="47"/>
      <c r="G27" s="1"/>
    </row>
    <row r="28" spans="1:7" ht="13.15" customHeight="1" x14ac:dyDescent="0.45">
      <c r="A28" s="1"/>
      <c r="B28" s="94" t="s">
        <v>229</v>
      </c>
      <c r="C28" s="95"/>
      <c r="D28" s="96"/>
      <c r="E28" s="10">
        <v>0</v>
      </c>
      <c r="F28" s="11" t="s">
        <v>3</v>
      </c>
      <c r="G28" s="1"/>
    </row>
    <row r="29" spans="1:7" x14ac:dyDescent="0.45">
      <c r="A29" s="1"/>
      <c r="B29" s="46" t="s">
        <v>230</v>
      </c>
      <c r="C29" s="47"/>
      <c r="D29" s="47"/>
      <c r="E29" s="47"/>
      <c r="F29" s="20"/>
      <c r="G29" s="1"/>
    </row>
    <row r="30" spans="1:7" ht="15" customHeight="1" x14ac:dyDescent="0.45">
      <c r="A30" s="1"/>
      <c r="B30" s="94" t="s">
        <v>231</v>
      </c>
      <c r="C30" s="95"/>
      <c r="D30" s="96"/>
      <c r="E30" s="10">
        <v>666822.0767330844</v>
      </c>
      <c r="F30" s="11" t="s">
        <v>3</v>
      </c>
      <c r="G30" s="1"/>
    </row>
    <row r="31" spans="1:7" x14ac:dyDescent="0.45">
      <c r="A31" s="1"/>
      <c r="B31" s="46" t="s">
        <v>232</v>
      </c>
      <c r="C31" s="47"/>
      <c r="D31" s="47"/>
      <c r="E31" s="47"/>
      <c r="F31" s="20"/>
      <c r="G31" s="1"/>
    </row>
    <row r="32" spans="1:7" x14ac:dyDescent="0.45">
      <c r="A32" s="1"/>
      <c r="B32" s="81" t="s">
        <v>233</v>
      </c>
      <c r="C32" s="82"/>
      <c r="D32" s="83"/>
      <c r="E32" s="10">
        <v>0</v>
      </c>
      <c r="F32" s="11" t="s">
        <v>3</v>
      </c>
      <c r="G32" s="1"/>
    </row>
    <row r="33" spans="1:7" x14ac:dyDescent="0.45">
      <c r="A33" s="1"/>
      <c r="B33" s="46" t="s">
        <v>24</v>
      </c>
      <c r="C33" s="47"/>
      <c r="D33" s="47"/>
      <c r="E33" s="12">
        <f>SUM(E30,E26,E28,E22,E20,E32)</f>
        <v>27297580.790533759</v>
      </c>
      <c r="F33" s="13" t="s">
        <v>3</v>
      </c>
      <c r="G33" s="1"/>
    </row>
    <row r="34" spans="1:7" ht="28.15" customHeight="1" x14ac:dyDescent="0.45">
      <c r="A34" s="1"/>
      <c r="B34" s="88" t="s">
        <v>179</v>
      </c>
      <c r="C34" s="89"/>
      <c r="D34" s="89"/>
      <c r="E34" s="89"/>
      <c r="F34" s="90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1gny7B5DlhjJZJkh64uTqfFFwn57CFJnPqJxtFdp1dq/41lYvGkNlzF0NlKjmkvPlTgvImeh4QHX07wtffQtow==" saltValue="0VXAotZibVkmiTUheGjS+A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4" t="s">
        <v>138</v>
      </c>
      <c r="C1" s="74"/>
      <c r="D1" s="74"/>
      <c r="E1" s="74"/>
      <c r="F1" s="74"/>
      <c r="G1" s="74"/>
      <c r="H1" s="74"/>
      <c r="I1" s="1"/>
    </row>
    <row r="2" spans="1:9" ht="15" customHeight="1" x14ac:dyDescent="0.45">
      <c r="A2" s="1"/>
      <c r="B2" s="74"/>
      <c r="C2" s="74"/>
      <c r="D2" s="74"/>
      <c r="E2" s="74"/>
      <c r="F2" s="74"/>
      <c r="G2" s="74"/>
      <c r="H2" s="74"/>
      <c r="I2" s="1"/>
    </row>
    <row r="3" spans="1:9" ht="15" customHeight="1" x14ac:dyDescent="0.45">
      <c r="A3" s="1"/>
      <c r="B3" s="74"/>
      <c r="C3" s="74"/>
      <c r="D3" s="74"/>
      <c r="E3" s="74"/>
      <c r="F3" s="74"/>
      <c r="G3" s="74"/>
      <c r="H3" s="74"/>
      <c r="I3" s="1"/>
    </row>
    <row r="4" spans="1:9" x14ac:dyDescent="0.45">
      <c r="A4" s="1"/>
      <c r="B4" s="97" t="s">
        <v>64</v>
      </c>
      <c r="C4" s="98"/>
      <c r="D4" s="98"/>
      <c r="E4" s="98"/>
      <c r="F4" s="98"/>
      <c r="G4" s="98"/>
      <c r="H4" s="99"/>
      <c r="I4" s="1"/>
    </row>
    <row r="5" spans="1:9" x14ac:dyDescent="0.45">
      <c r="A5" s="1"/>
      <c r="B5" s="100" t="s">
        <v>53</v>
      </c>
      <c r="C5" s="101"/>
      <c r="D5" s="101"/>
      <c r="E5" s="101"/>
      <c r="F5" s="102"/>
      <c r="G5" s="24">
        <v>7226320</v>
      </c>
      <c r="H5" s="14" t="s">
        <v>3</v>
      </c>
      <c r="I5" s="1"/>
    </row>
    <row r="6" spans="1:9" x14ac:dyDescent="0.45">
      <c r="A6" s="1"/>
      <c r="B6" s="100" t="s">
        <v>54</v>
      </c>
      <c r="C6" s="101"/>
      <c r="D6" s="101"/>
      <c r="E6" s="101"/>
      <c r="F6" s="102"/>
      <c r="G6" s="24">
        <f>G5*'Fane 12. Nøgletal'!C27</f>
        <v>144526.39999999999</v>
      </c>
      <c r="H6" s="14" t="s">
        <v>3</v>
      </c>
      <c r="I6" s="1"/>
    </row>
    <row r="7" spans="1:9" x14ac:dyDescent="0.45">
      <c r="A7" s="1"/>
      <c r="B7" s="46"/>
      <c r="C7" s="47"/>
      <c r="D7" s="47"/>
      <c r="E7" s="47"/>
      <c r="F7" s="47"/>
      <c r="G7" s="47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7" t="s">
        <v>65</v>
      </c>
      <c r="C9" s="98"/>
      <c r="D9" s="98"/>
      <c r="E9" s="98"/>
      <c r="F9" s="98"/>
      <c r="G9" s="98"/>
      <c r="H9" s="99"/>
      <c r="I9" s="1"/>
    </row>
    <row r="10" spans="1:9" x14ac:dyDescent="0.45">
      <c r="A10" s="1"/>
      <c r="B10" s="100" t="s">
        <v>55</v>
      </c>
      <c r="C10" s="101"/>
      <c r="D10" s="101"/>
      <c r="E10" s="101"/>
      <c r="F10" s="102"/>
      <c r="G10" s="24">
        <f>(G5-G6)*(1+'Fane 12. Nøgletal'!C9)</f>
        <v>7171732.3787199995</v>
      </c>
      <c r="H10" s="14" t="s">
        <v>3</v>
      </c>
      <c r="I10" s="1"/>
    </row>
    <row r="11" spans="1:9" x14ac:dyDescent="0.45">
      <c r="A11" s="1"/>
      <c r="B11" s="103" t="s">
        <v>56</v>
      </c>
      <c r="C11" s="104"/>
      <c r="D11" s="104"/>
      <c r="E11" s="104"/>
      <c r="F11" s="105"/>
      <c r="G11" s="24">
        <v>0</v>
      </c>
      <c r="H11" s="14" t="s">
        <v>3</v>
      </c>
      <c r="I11" s="1"/>
    </row>
    <row r="12" spans="1:9" x14ac:dyDescent="0.45">
      <c r="A12" s="1"/>
      <c r="B12" s="100" t="s">
        <v>57</v>
      </c>
      <c r="C12" s="101"/>
      <c r="D12" s="101"/>
      <c r="E12" s="101"/>
      <c r="F12" s="102"/>
      <c r="G12" s="24">
        <f>(G10+G11)*'Fane 12. Nøgletal'!C27</f>
        <v>143434.64757440001</v>
      </c>
      <c r="H12" s="14" t="s">
        <v>3</v>
      </c>
      <c r="I12" s="1"/>
    </row>
    <row r="13" spans="1:9" x14ac:dyDescent="0.45">
      <c r="A13" s="1"/>
      <c r="B13" s="46"/>
      <c r="C13" s="47"/>
      <c r="D13" s="47"/>
      <c r="E13" s="47"/>
      <c r="F13" s="47"/>
      <c r="G13" s="47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7" t="s">
        <v>66</v>
      </c>
      <c r="C15" s="98"/>
      <c r="D15" s="98"/>
      <c r="E15" s="98"/>
      <c r="F15" s="98"/>
      <c r="G15" s="98"/>
      <c r="H15" s="99"/>
      <c r="I15" s="1"/>
    </row>
    <row r="16" spans="1:9" x14ac:dyDescent="0.45">
      <c r="A16" s="1"/>
      <c r="B16" s="100" t="s">
        <v>58</v>
      </c>
      <c r="C16" s="101"/>
      <c r="D16" s="101"/>
      <c r="E16" s="101"/>
      <c r="F16" s="102"/>
      <c r="G16" s="24">
        <f>(G10-G12)*(1+'Fane 12. Nøgletal'!C11)</f>
        <v>7147075.9628019603</v>
      </c>
      <c r="H16" s="14" t="s">
        <v>3</v>
      </c>
      <c r="I16" s="1"/>
    </row>
    <row r="17" spans="1:9" x14ac:dyDescent="0.45">
      <c r="A17" s="1"/>
      <c r="B17" s="100" t="s">
        <v>148</v>
      </c>
      <c r="C17" s="101"/>
      <c r="D17" s="101"/>
      <c r="E17" s="101"/>
      <c r="F17" s="102"/>
      <c r="G17" s="24">
        <v>141396.11053986137</v>
      </c>
      <c r="H17" s="14" t="s">
        <v>3</v>
      </c>
      <c r="I17" s="1"/>
    </row>
    <row r="18" spans="1:9" x14ac:dyDescent="0.45">
      <c r="A18" s="1"/>
      <c r="B18" s="103" t="s">
        <v>59</v>
      </c>
      <c r="C18" s="104"/>
      <c r="D18" s="104"/>
      <c r="E18" s="104"/>
      <c r="F18" s="105"/>
      <c r="G18" s="24">
        <f>98128.51987534-47447*1.0169^2</f>
        <v>49064.259937670016</v>
      </c>
      <c r="H18" s="14" t="s">
        <v>3</v>
      </c>
      <c r="I18" s="1"/>
    </row>
    <row r="19" spans="1:9" x14ac:dyDescent="0.45">
      <c r="A19" s="1"/>
      <c r="B19" s="100" t="s">
        <v>60</v>
      </c>
      <c r="C19" s="101"/>
      <c r="D19" s="101"/>
      <c r="E19" s="101"/>
      <c r="F19" s="102"/>
      <c r="G19" s="24">
        <f>SUM(G16:G18)*'Fane 12. Nøgletal'!C27</f>
        <v>146750.72666558984</v>
      </c>
      <c r="H19" s="14" t="s">
        <v>3</v>
      </c>
      <c r="I19" s="1"/>
    </row>
    <row r="20" spans="1:9" x14ac:dyDescent="0.45">
      <c r="A20" s="1"/>
      <c r="B20" s="46"/>
      <c r="C20" s="47"/>
      <c r="D20" s="47"/>
      <c r="E20" s="47"/>
      <c r="F20" s="47"/>
      <c r="G20" s="47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7" t="s">
        <v>67</v>
      </c>
      <c r="C22" s="98"/>
      <c r="D22" s="98"/>
      <c r="E22" s="98"/>
      <c r="F22" s="98"/>
      <c r="G22" s="98"/>
      <c r="H22" s="99"/>
      <c r="I22" s="1"/>
    </row>
    <row r="23" spans="1:9" x14ac:dyDescent="0.45">
      <c r="A23" s="1"/>
      <c r="B23" s="100" t="s">
        <v>61</v>
      </c>
      <c r="C23" s="101"/>
      <c r="D23" s="101"/>
      <c r="E23" s="101"/>
      <c r="F23" s="102"/>
      <c r="G23" s="24">
        <f>(SUM(G16:G18)-G19)*(1+'Fane 12. Nøgletal'!C11)</f>
        <v>7312309.8833656758</v>
      </c>
      <c r="H23" s="14" t="s">
        <v>3</v>
      </c>
      <c r="I23" s="1"/>
    </row>
    <row r="24" spans="1:9" x14ac:dyDescent="0.45">
      <c r="A24" s="1"/>
      <c r="B24" s="103" t="s">
        <v>62</v>
      </c>
      <c r="C24" s="104"/>
      <c r="D24" s="104"/>
      <c r="E24" s="104"/>
      <c r="F24" s="105"/>
      <c r="G24" s="24">
        <v>137026.39386447001</v>
      </c>
      <c r="H24" s="14" t="s">
        <v>3</v>
      </c>
      <c r="I24" s="1"/>
    </row>
    <row r="25" spans="1:9" x14ac:dyDescent="0.45">
      <c r="A25" s="1"/>
      <c r="B25" s="100" t="s">
        <v>63</v>
      </c>
      <c r="C25" s="101"/>
      <c r="D25" s="101"/>
      <c r="E25" s="101"/>
      <c r="F25" s="102"/>
      <c r="G25" s="24">
        <f>(G23+G24)*'Fane 12. Nøgletal'!C27</f>
        <v>148986.7255446029</v>
      </c>
      <c r="H25" s="14" t="s">
        <v>3</v>
      </c>
      <c r="I25" s="1"/>
    </row>
    <row r="26" spans="1:9" x14ac:dyDescent="0.45">
      <c r="A26" s="1"/>
      <c r="B26" s="46"/>
      <c r="C26" s="47"/>
      <c r="D26" s="47"/>
      <c r="E26" s="47"/>
      <c r="F26" s="47"/>
      <c r="G26" s="47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7" t="s">
        <v>222</v>
      </c>
      <c r="C28" s="98"/>
      <c r="D28" s="98"/>
      <c r="E28" s="98"/>
      <c r="F28" s="98"/>
      <c r="G28" s="98"/>
      <c r="H28" s="99"/>
      <c r="I28" s="1"/>
    </row>
    <row r="29" spans="1:9" x14ac:dyDescent="0.45">
      <c r="A29" s="1"/>
      <c r="B29" s="100" t="s">
        <v>70</v>
      </c>
      <c r="C29" s="101"/>
      <c r="D29" s="101"/>
      <c r="E29" s="101"/>
      <c r="F29" s="102"/>
      <c r="G29" s="24">
        <f>(G23+G24-G25)*(1+'Fane 12. Nøgletal'!C13)</f>
        <v>7389413.8162161065</v>
      </c>
      <c r="H29" s="14" t="s">
        <v>3</v>
      </c>
      <c r="I29" s="1"/>
    </row>
    <row r="30" spans="1:9" x14ac:dyDescent="0.45">
      <c r="A30" s="1"/>
      <c r="B30" s="100" t="s">
        <v>187</v>
      </c>
      <c r="C30" s="101"/>
      <c r="D30" s="101"/>
      <c r="E30" s="101"/>
      <c r="F30" s="102"/>
      <c r="G30" s="24">
        <f>SUM('Fane 2.1. Økonomisk ramme 2021'!C11,'Fane 2.1. Økonomisk ramme 2021'!C13,'Fane 2.1. Økonomisk ramme 2021'!C15)*(1+'Fane 12. Nøgletal'!C13)</f>
        <v>37350.952511039999</v>
      </c>
      <c r="H30" s="14" t="s">
        <v>3</v>
      </c>
      <c r="I30" s="1"/>
    </row>
    <row r="31" spans="1:9" x14ac:dyDescent="0.45">
      <c r="A31" s="1"/>
      <c r="B31" s="100" t="s">
        <v>199</v>
      </c>
      <c r="C31" s="101"/>
      <c r="D31" s="101"/>
      <c r="E31" s="101"/>
      <c r="F31" s="102"/>
      <c r="G31" s="24">
        <f>(G29+G30)*'Fane 12. Nøgletal'!C27</f>
        <v>148535.29537454291</v>
      </c>
      <c r="H31" s="14" t="s">
        <v>3</v>
      </c>
      <c r="I31" s="1"/>
    </row>
    <row r="32" spans="1:9" x14ac:dyDescent="0.45">
      <c r="A32" s="1"/>
      <c r="B32" s="46"/>
      <c r="C32" s="47"/>
      <c r="D32" s="47"/>
      <c r="E32" s="47"/>
      <c r="F32" s="47"/>
      <c r="G32" s="47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7" t="s">
        <v>223</v>
      </c>
      <c r="C34" s="98"/>
      <c r="D34" s="98"/>
      <c r="E34" s="98"/>
      <c r="F34" s="98"/>
      <c r="G34" s="98"/>
      <c r="H34" s="99"/>
      <c r="I34" s="1"/>
    </row>
    <row r="35" spans="1:9" x14ac:dyDescent="0.45">
      <c r="A35" s="1"/>
      <c r="B35" s="100" t="s">
        <v>90</v>
      </c>
      <c r="C35" s="101"/>
      <c r="D35" s="101"/>
      <c r="E35" s="101"/>
      <c r="F35" s="102"/>
      <c r="G35" s="24">
        <f>(G29+G30-G31)*(1+'Fane 12. Nøgletal'!C13)</f>
        <v>7367023.8729275055</v>
      </c>
      <c r="H35" s="14" t="s">
        <v>3</v>
      </c>
      <c r="I35" s="1"/>
    </row>
    <row r="36" spans="1:9" x14ac:dyDescent="0.45">
      <c r="A36" s="1"/>
      <c r="B36" s="100" t="s">
        <v>102</v>
      </c>
      <c r="C36" s="101"/>
      <c r="D36" s="101"/>
      <c r="E36" s="101"/>
      <c r="F36" s="102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100" t="s">
        <v>224</v>
      </c>
      <c r="C37" s="101"/>
      <c r="D37" s="101"/>
      <c r="E37" s="101"/>
      <c r="F37" s="102"/>
      <c r="G37" s="24">
        <f>(G35+G36)*'Fane 12. Nøgletal'!C27</f>
        <v>147340.4774585501</v>
      </c>
      <c r="H37" s="14" t="s">
        <v>3</v>
      </c>
      <c r="I37" s="1"/>
    </row>
    <row r="38" spans="1:9" x14ac:dyDescent="0.45">
      <c r="A38" s="1"/>
      <c r="B38" s="46"/>
      <c r="C38" s="47"/>
      <c r="D38" s="47"/>
      <c r="E38" s="47"/>
      <c r="F38" s="47"/>
      <c r="G38" s="47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7" t="s">
        <v>91</v>
      </c>
      <c r="C40" s="98"/>
      <c r="D40" s="98"/>
      <c r="E40" s="98"/>
      <c r="F40" s="98"/>
      <c r="G40" s="98"/>
      <c r="H40" s="99"/>
      <c r="I40" s="1"/>
    </row>
    <row r="41" spans="1:9" x14ac:dyDescent="0.45">
      <c r="A41" s="1"/>
      <c r="B41" s="100" t="s">
        <v>89</v>
      </c>
      <c r="C41" s="101"/>
      <c r="D41" s="101"/>
      <c r="E41" s="101"/>
      <c r="F41" s="102"/>
      <c r="G41" s="24">
        <f>(G35+G36-G37)*(1+'Fane 12. Nøgletal'!C13)</f>
        <v>7307763.5328936772</v>
      </c>
      <c r="H41" s="14" t="s">
        <v>3</v>
      </c>
      <c r="I41" s="1"/>
    </row>
    <row r="42" spans="1:9" x14ac:dyDescent="0.45">
      <c r="A42" s="1"/>
      <c r="B42" s="100" t="s">
        <v>103</v>
      </c>
      <c r="C42" s="101"/>
      <c r="D42" s="101"/>
      <c r="E42" s="101"/>
      <c r="F42" s="102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100" t="s">
        <v>71</v>
      </c>
      <c r="C43" s="101"/>
      <c r="D43" s="101"/>
      <c r="E43" s="101"/>
      <c r="F43" s="102"/>
      <c r="G43" s="24">
        <f>(G41+G42)*'Fane 12. Nøgletal'!C27</f>
        <v>146155.27065787354</v>
      </c>
      <c r="H43" s="14" t="s">
        <v>3</v>
      </c>
      <c r="I43" s="1"/>
    </row>
    <row r="44" spans="1:9" x14ac:dyDescent="0.45">
      <c r="A44" s="1"/>
      <c r="B44" s="46"/>
      <c r="C44" s="47"/>
      <c r="D44" s="47"/>
      <c r="E44" s="47"/>
      <c r="F44" s="47"/>
      <c r="G44" s="47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7" t="s">
        <v>188</v>
      </c>
      <c r="C46" s="98"/>
      <c r="D46" s="98"/>
      <c r="E46" s="98"/>
      <c r="F46" s="98"/>
      <c r="G46" s="98"/>
      <c r="H46" s="99"/>
      <c r="I46" s="1"/>
    </row>
    <row r="47" spans="1:9" x14ac:dyDescent="0.45">
      <c r="A47" s="1"/>
      <c r="B47" s="100" t="s">
        <v>189</v>
      </c>
      <c r="C47" s="101"/>
      <c r="D47" s="101"/>
      <c r="E47" s="101"/>
      <c r="F47" s="102"/>
      <c r="G47" s="24">
        <f>(G41+G42-G43)*(1+'Fane 12. Nøgletal'!C13)</f>
        <v>7248979.8830350805</v>
      </c>
      <c r="H47" s="14" t="s">
        <v>3</v>
      </c>
      <c r="I47" s="1"/>
    </row>
    <row r="48" spans="1:9" x14ac:dyDescent="0.45">
      <c r="A48" s="1"/>
      <c r="B48" s="100" t="s">
        <v>190</v>
      </c>
      <c r="C48" s="101"/>
      <c r="D48" s="101"/>
      <c r="E48" s="101"/>
      <c r="F48" s="102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100" t="s">
        <v>191</v>
      </c>
      <c r="C49" s="101"/>
      <c r="D49" s="101"/>
      <c r="E49" s="101"/>
      <c r="F49" s="102"/>
      <c r="G49" s="24">
        <f>(G47+G48)*'Fane 12. Nøgletal'!C27</f>
        <v>144979.59766070161</v>
      </c>
      <c r="H49" s="14" t="s">
        <v>3</v>
      </c>
      <c r="I49" s="1"/>
    </row>
    <row r="50" spans="1:9" x14ac:dyDescent="0.45">
      <c r="A50" s="1"/>
      <c r="B50" s="46"/>
      <c r="C50" s="47"/>
      <c r="D50" s="47"/>
      <c r="E50" s="47"/>
      <c r="F50" s="47"/>
      <c r="G50" s="47"/>
      <c r="H50" s="20"/>
      <c r="I50" s="1"/>
    </row>
  </sheetData>
  <sheetProtection algorithmName="SHA-512" hashValue="oHjZoKzXq4BzxV9fgcWHXO/o0aPuUe+mM/ejN1Br6+LCfLhaTmt5ogLd1qjhJRQxUnpWr33OGOTN4SNPymnMAg==" saltValue="N0vg24wtgKjYOUW05KqT2w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6" t="s">
        <v>139</v>
      </c>
      <c r="C2" s="106"/>
      <c r="D2" s="106"/>
      <c r="E2" s="106"/>
      <c r="F2" s="106"/>
      <c r="G2" s="106"/>
      <c r="H2" s="106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7" t="s">
        <v>68</v>
      </c>
      <c r="C4" s="98"/>
      <c r="D4" s="98"/>
      <c r="E4" s="98"/>
      <c r="F4" s="98"/>
      <c r="G4" s="98"/>
      <c r="H4" s="99"/>
      <c r="I4" s="1"/>
    </row>
    <row r="5" spans="1:9" x14ac:dyDescent="0.45">
      <c r="A5" s="1"/>
      <c r="B5" s="100" t="s">
        <v>72</v>
      </c>
      <c r="C5" s="101"/>
      <c r="D5" s="101"/>
      <c r="E5" s="101"/>
      <c r="F5" s="102"/>
      <c r="G5" s="24">
        <v>8223612</v>
      </c>
      <c r="H5" s="14" t="s">
        <v>3</v>
      </c>
      <c r="I5" s="1"/>
    </row>
    <row r="6" spans="1:9" x14ac:dyDescent="0.45">
      <c r="A6" s="1"/>
      <c r="B6" s="100" t="s">
        <v>69</v>
      </c>
      <c r="C6" s="101"/>
      <c r="D6" s="101"/>
      <c r="E6" s="101"/>
      <c r="F6" s="102"/>
      <c r="G6" s="24">
        <f>G5*'Fane 12. Nøgletal'!C18</f>
        <v>74834.869200000001</v>
      </c>
      <c r="H6" s="14" t="s">
        <v>3</v>
      </c>
      <c r="I6" s="1"/>
    </row>
    <row r="7" spans="1:9" x14ac:dyDescent="0.45">
      <c r="A7" s="1"/>
      <c r="B7" s="46"/>
      <c r="C7" s="47"/>
      <c r="D7" s="47"/>
      <c r="E7" s="47"/>
      <c r="F7" s="47"/>
      <c r="G7" s="47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7" t="s">
        <v>73</v>
      </c>
      <c r="C9" s="98"/>
      <c r="D9" s="98"/>
      <c r="E9" s="98"/>
      <c r="F9" s="98"/>
      <c r="G9" s="98"/>
      <c r="H9" s="99"/>
      <c r="I9" s="1"/>
    </row>
    <row r="10" spans="1:9" x14ac:dyDescent="0.45">
      <c r="A10" s="1"/>
      <c r="B10" s="100" t="s">
        <v>74</v>
      </c>
      <c r="C10" s="101"/>
      <c r="D10" s="101"/>
      <c r="E10" s="101"/>
      <c r="F10" s="102"/>
      <c r="G10" s="24">
        <f>(G5-G6)*(1+'Fane 12. Nøgletal'!C9)</f>
        <v>8252266.60036116</v>
      </c>
      <c r="H10" s="14" t="s">
        <v>3</v>
      </c>
      <c r="I10" s="1"/>
    </row>
    <row r="11" spans="1:9" x14ac:dyDescent="0.45">
      <c r="A11" s="1"/>
      <c r="B11" s="103" t="s">
        <v>75</v>
      </c>
      <c r="C11" s="104"/>
      <c r="D11" s="104"/>
      <c r="E11" s="104"/>
      <c r="F11" s="105"/>
      <c r="G11" s="24">
        <v>0</v>
      </c>
      <c r="H11" s="14" t="s">
        <v>3</v>
      </c>
      <c r="I11" s="1"/>
    </row>
    <row r="12" spans="1:9" x14ac:dyDescent="0.45">
      <c r="A12" s="1"/>
      <c r="B12" s="100" t="s">
        <v>76</v>
      </c>
      <c r="C12" s="101"/>
      <c r="D12" s="101"/>
      <c r="E12" s="101"/>
      <c r="F12" s="102"/>
      <c r="G12" s="24">
        <f>G10*'Fane 12. Nøgletal'!C18+G11*'Fane 12. Nøgletal'!C19</f>
        <v>75095.62606328656</v>
      </c>
      <c r="H12" s="14" t="s">
        <v>3</v>
      </c>
      <c r="I12" s="1"/>
    </row>
    <row r="13" spans="1:9" x14ac:dyDescent="0.45">
      <c r="A13" s="1"/>
      <c r="B13" s="46"/>
      <c r="C13" s="47"/>
      <c r="D13" s="47"/>
      <c r="E13" s="47"/>
      <c r="F13" s="47"/>
      <c r="G13" s="47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7" t="s">
        <v>77</v>
      </c>
      <c r="C15" s="98"/>
      <c r="D15" s="98"/>
      <c r="E15" s="98"/>
      <c r="F15" s="98"/>
      <c r="G15" s="98"/>
      <c r="H15" s="99"/>
      <c r="I15" s="1"/>
    </row>
    <row r="16" spans="1:9" x14ac:dyDescent="0.45">
      <c r="A16" s="1"/>
      <c r="B16" s="100" t="s">
        <v>78</v>
      </c>
      <c r="C16" s="101"/>
      <c r="D16" s="101"/>
      <c r="E16" s="101"/>
      <c r="F16" s="102"/>
      <c r="G16" s="24">
        <f>(G10+G11-G12)*(1+'Fane 12. Nøgletal'!C11)</f>
        <v>8315365.1637635073</v>
      </c>
      <c r="H16" s="14" t="s">
        <v>3</v>
      </c>
      <c r="I16" s="1"/>
    </row>
    <row r="17" spans="1:9" x14ac:dyDescent="0.45">
      <c r="A17" s="1"/>
      <c r="B17" s="100" t="s">
        <v>149</v>
      </c>
      <c r="C17" s="101"/>
      <c r="D17" s="101"/>
      <c r="E17" s="101"/>
      <c r="F17" s="102"/>
      <c r="G17" s="24">
        <v>71285.390610433227</v>
      </c>
      <c r="H17" s="14" t="s">
        <v>3</v>
      </c>
      <c r="I17" s="1"/>
    </row>
    <row r="18" spans="1:9" x14ac:dyDescent="0.45">
      <c r="A18" s="1"/>
      <c r="B18" s="103" t="s">
        <v>79</v>
      </c>
      <c r="C18" s="104"/>
      <c r="D18" s="104"/>
      <c r="E18" s="104"/>
      <c r="F18" s="105"/>
      <c r="G18" s="24">
        <v>0</v>
      </c>
      <c r="H18" s="14" t="s">
        <v>3</v>
      </c>
      <c r="I18" s="1"/>
    </row>
    <row r="19" spans="1:9" x14ac:dyDescent="0.45">
      <c r="A19" s="1"/>
      <c r="B19" s="100" t="s">
        <v>80</v>
      </c>
      <c r="C19" s="101"/>
      <c r="D19" s="101"/>
      <c r="E19" s="101"/>
      <c r="F19" s="102"/>
      <c r="G19" s="24">
        <f>SUM(G16:G18)*'Fane 12. Nøgletal'!C20</f>
        <v>72963.859823053281</v>
      </c>
      <c r="H19" s="14" t="s">
        <v>3</v>
      </c>
      <c r="I19" s="1"/>
    </row>
    <row r="20" spans="1:9" x14ac:dyDescent="0.45">
      <c r="A20" s="1"/>
      <c r="B20" s="46"/>
      <c r="C20" s="47"/>
      <c r="D20" s="47"/>
      <c r="E20" s="47"/>
      <c r="F20" s="47"/>
      <c r="G20" s="47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7" t="s">
        <v>81</v>
      </c>
      <c r="C22" s="98"/>
      <c r="D22" s="98"/>
      <c r="E22" s="98"/>
      <c r="F22" s="98"/>
      <c r="G22" s="98"/>
      <c r="H22" s="99"/>
      <c r="I22" s="1"/>
    </row>
    <row r="23" spans="1:9" x14ac:dyDescent="0.45">
      <c r="A23" s="1"/>
      <c r="B23" s="100" t="s">
        <v>82</v>
      </c>
      <c r="C23" s="101"/>
      <c r="D23" s="101"/>
      <c r="E23" s="101"/>
      <c r="F23" s="102"/>
      <c r="G23" s="24">
        <f>(SUM(G16:G18)-G19)*(1+'Fane 12. Nøgletal'!C11)</f>
        <v>8454187.9996887967</v>
      </c>
      <c r="H23" s="14" t="s">
        <v>3</v>
      </c>
      <c r="I23" s="1"/>
    </row>
    <row r="24" spans="1:9" x14ac:dyDescent="0.45">
      <c r="A24" s="1"/>
      <c r="B24" s="103" t="s">
        <v>83</v>
      </c>
      <c r="C24" s="104"/>
      <c r="D24" s="104"/>
      <c r="E24" s="104"/>
      <c r="F24" s="105"/>
      <c r="G24" s="24">
        <v>22230.669364200003</v>
      </c>
      <c r="H24" s="14" t="s">
        <v>3</v>
      </c>
      <c r="I24" s="1"/>
    </row>
    <row r="25" spans="1:9" x14ac:dyDescent="0.45">
      <c r="A25" s="1"/>
      <c r="B25" s="100" t="s">
        <v>84</v>
      </c>
      <c r="C25" s="101"/>
      <c r="D25" s="101"/>
      <c r="E25" s="101"/>
      <c r="F25" s="102"/>
      <c r="G25" s="24">
        <f>G23*'Fane 12. Nøgletal'!C20+G24*'Fane 12. Nøgletal'!C21</f>
        <v>74182.786607235801</v>
      </c>
      <c r="H25" s="14" t="s">
        <v>3</v>
      </c>
      <c r="I25" s="1"/>
    </row>
    <row r="26" spans="1:9" x14ac:dyDescent="0.45">
      <c r="A26" s="1"/>
      <c r="B26" s="46"/>
      <c r="C26" s="47"/>
      <c r="D26" s="47"/>
      <c r="E26" s="47"/>
      <c r="F26" s="47"/>
      <c r="G26" s="47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7" t="s">
        <v>220</v>
      </c>
      <c r="C28" s="98"/>
      <c r="D28" s="98"/>
      <c r="E28" s="98"/>
      <c r="F28" s="98"/>
      <c r="G28" s="98"/>
      <c r="H28" s="99"/>
      <c r="I28" s="1"/>
    </row>
    <row r="29" spans="1:9" x14ac:dyDescent="0.45">
      <c r="A29" s="1"/>
      <c r="B29" s="100" t="s">
        <v>85</v>
      </c>
      <c r="C29" s="101"/>
      <c r="D29" s="101"/>
      <c r="E29" s="101"/>
      <c r="F29" s="102"/>
      <c r="G29" s="24">
        <f>(G23+G24-G25)*(1+'Fane 12. Nøgletal'!C13)</f>
        <v>8504743.1602116004</v>
      </c>
      <c r="H29" s="14" t="s">
        <v>3</v>
      </c>
      <c r="I29" s="1"/>
    </row>
    <row r="30" spans="1:9" x14ac:dyDescent="0.45">
      <c r="A30" s="1"/>
      <c r="B30" s="100" t="s">
        <v>192</v>
      </c>
      <c r="C30" s="101"/>
      <c r="D30" s="101"/>
      <c r="E30" s="101"/>
      <c r="F30" s="102"/>
      <c r="G30" s="24">
        <f>SUM('Fane 2.1. Økonomisk ramme 2021'!C12,'Fane 2.1. Økonomisk ramme 2021'!C14,'Fane 2.1. Økonomisk ramme 2021'!C16)*(1+'Fane 12. Nøgletal'!C13)</f>
        <v>55304.80486692</v>
      </c>
      <c r="H30" s="14" t="s">
        <v>3</v>
      </c>
      <c r="I30" s="1"/>
    </row>
    <row r="31" spans="1:9" x14ac:dyDescent="0.45">
      <c r="A31" s="1"/>
      <c r="B31" s="100" t="s">
        <v>221</v>
      </c>
      <c r="C31" s="101"/>
      <c r="D31" s="101"/>
      <c r="E31" s="101"/>
      <c r="F31" s="102"/>
      <c r="G31" s="24">
        <f>(G29+G30)*'Fane 12. Nøgletal'!C22</f>
        <v>235401.31903965928</v>
      </c>
      <c r="H31" s="14" t="s">
        <v>3</v>
      </c>
      <c r="I31" s="1"/>
    </row>
    <row r="32" spans="1:9" x14ac:dyDescent="0.45">
      <c r="A32" s="1"/>
      <c r="B32" s="46"/>
      <c r="C32" s="47"/>
      <c r="D32" s="47"/>
      <c r="E32" s="47"/>
      <c r="F32" s="47"/>
      <c r="G32" s="47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7" t="s">
        <v>225</v>
      </c>
      <c r="C34" s="98"/>
      <c r="D34" s="98"/>
      <c r="E34" s="98"/>
      <c r="F34" s="98"/>
      <c r="G34" s="98"/>
      <c r="H34" s="99"/>
      <c r="I34" s="1"/>
    </row>
    <row r="35" spans="1:9" x14ac:dyDescent="0.45">
      <c r="A35" s="1"/>
      <c r="B35" s="100" t="s">
        <v>88</v>
      </c>
      <c r="C35" s="101"/>
      <c r="D35" s="101"/>
      <c r="E35" s="101"/>
      <c r="F35" s="102"/>
      <c r="G35" s="24">
        <f>(G29+G30-G31)*(1+'Fane 12. Nøgletal'!C13)</f>
        <v>8426207.3351205345</v>
      </c>
      <c r="H35" s="14" t="s">
        <v>3</v>
      </c>
      <c r="I35" s="1"/>
    </row>
    <row r="36" spans="1:9" x14ac:dyDescent="0.45">
      <c r="A36" s="1"/>
      <c r="B36" s="100" t="s">
        <v>107</v>
      </c>
      <c r="C36" s="101"/>
      <c r="D36" s="101"/>
      <c r="E36" s="101"/>
      <c r="F36" s="102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100" t="s">
        <v>226</v>
      </c>
      <c r="C37" s="101"/>
      <c r="D37" s="101"/>
      <c r="E37" s="101"/>
      <c r="F37" s="102"/>
      <c r="G37" s="24">
        <f>(G35+G36)*'Fane 12. Nøgletal'!C22</f>
        <v>231720.70171581471</v>
      </c>
      <c r="H37" s="14" t="s">
        <v>3</v>
      </c>
      <c r="I37" s="1"/>
    </row>
    <row r="38" spans="1:9" x14ac:dyDescent="0.45">
      <c r="A38" s="1"/>
      <c r="B38" s="46"/>
      <c r="C38" s="47"/>
      <c r="D38" s="47"/>
      <c r="E38" s="47"/>
      <c r="F38" s="47"/>
      <c r="G38" s="47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7" t="s">
        <v>92</v>
      </c>
      <c r="C40" s="98"/>
      <c r="D40" s="98"/>
      <c r="E40" s="98"/>
      <c r="F40" s="98"/>
      <c r="G40" s="98"/>
      <c r="H40" s="99"/>
      <c r="I40" s="1"/>
    </row>
    <row r="41" spans="1:9" x14ac:dyDescent="0.45">
      <c r="A41" s="1"/>
      <c r="B41" s="100" t="s">
        <v>87</v>
      </c>
      <c r="C41" s="101"/>
      <c r="D41" s="101"/>
      <c r="E41" s="101"/>
      <c r="F41" s="102"/>
      <c r="G41" s="24">
        <f>(G35+G36-G37)*(1+'Fane 12. Nøgletal'!C13)</f>
        <v>8294459.3703322569</v>
      </c>
      <c r="H41" s="14" t="s">
        <v>3</v>
      </c>
      <c r="I41" s="1"/>
    </row>
    <row r="42" spans="1:9" x14ac:dyDescent="0.45">
      <c r="A42" s="1"/>
      <c r="B42" s="100" t="s">
        <v>108</v>
      </c>
      <c r="C42" s="101"/>
      <c r="D42" s="101"/>
      <c r="E42" s="101"/>
      <c r="F42" s="102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100" t="s">
        <v>86</v>
      </c>
      <c r="C43" s="101"/>
      <c r="D43" s="101"/>
      <c r="E43" s="101"/>
      <c r="F43" s="102"/>
      <c r="G43" s="24">
        <f>(G41+G42)*'Fane 12. Nøgletal'!C22</f>
        <v>228097.63268413706</v>
      </c>
      <c r="H43" s="14" t="s">
        <v>3</v>
      </c>
      <c r="I43" s="1"/>
    </row>
    <row r="44" spans="1:9" x14ac:dyDescent="0.45">
      <c r="A44" s="1"/>
      <c r="B44" s="46"/>
      <c r="C44" s="47"/>
      <c r="D44" s="47"/>
      <c r="E44" s="47"/>
      <c r="F44" s="47"/>
      <c r="G44" s="47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7" t="s">
        <v>193</v>
      </c>
      <c r="C46" s="98"/>
      <c r="D46" s="98"/>
      <c r="E46" s="98"/>
      <c r="F46" s="98"/>
      <c r="G46" s="98"/>
      <c r="H46" s="99"/>
      <c r="I46" s="1"/>
    </row>
    <row r="47" spans="1:9" x14ac:dyDescent="0.45">
      <c r="A47" s="1"/>
      <c r="B47" s="100" t="s">
        <v>194</v>
      </c>
      <c r="C47" s="101"/>
      <c r="D47" s="101"/>
      <c r="E47" s="101"/>
      <c r="F47" s="102"/>
      <c r="G47" s="24">
        <f>(G41+G42-G43)*(1+'Fane 12. Nøgletal'!C13)</f>
        <v>8164771.3508474268</v>
      </c>
      <c r="H47" s="14" t="s">
        <v>3</v>
      </c>
      <c r="I47" s="1"/>
    </row>
    <row r="48" spans="1:9" x14ac:dyDescent="0.45">
      <c r="A48" s="1"/>
      <c r="B48" s="100" t="s">
        <v>195</v>
      </c>
      <c r="C48" s="101"/>
      <c r="D48" s="101"/>
      <c r="E48" s="101"/>
      <c r="F48" s="102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100" t="s">
        <v>196</v>
      </c>
      <c r="C49" s="101"/>
      <c r="D49" s="101"/>
      <c r="E49" s="101"/>
      <c r="F49" s="102"/>
      <c r="G49" s="24">
        <f>(G47+G48)*'Fane 12. Nøgletal'!C22</f>
        <v>224531.21214830424</v>
      </c>
      <c r="H49" s="14" t="s">
        <v>3</v>
      </c>
      <c r="I49" s="1"/>
    </row>
    <row r="50" spans="1:9" x14ac:dyDescent="0.45">
      <c r="A50" s="1"/>
      <c r="B50" s="46"/>
      <c r="C50" s="47"/>
      <c r="D50" s="47"/>
      <c r="E50" s="47"/>
      <c r="F50" s="47"/>
      <c r="G50" s="47"/>
      <c r="H50" s="20"/>
      <c r="I50" s="1"/>
    </row>
  </sheetData>
  <sheetProtection algorithmName="SHA-512" hashValue="7XN/iEOtb/oxY6UdFugu/5gcMfZf0o9EANwblCjAIsN07AsfH00QrPxbM+D7Brrj0MLOx2k9wQkcx04D4MJaxQ==" saltValue="VJUe27iaSpqnatVcfQzZ4g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4" t="s">
        <v>101</v>
      </c>
      <c r="C3" s="74"/>
      <c r="D3" s="74"/>
      <c r="E3" s="74"/>
      <c r="F3" s="74"/>
      <c r="G3" s="74"/>
      <c r="H3" s="74"/>
      <c r="I3" s="1"/>
    </row>
    <row r="4" spans="1:9" ht="15" customHeight="1" x14ac:dyDescent="0.4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7" t="s">
        <v>9</v>
      </c>
      <c r="C8" s="98"/>
      <c r="D8" s="98"/>
      <c r="E8" s="98"/>
      <c r="F8" s="98"/>
      <c r="G8" s="98"/>
      <c r="H8" s="99"/>
      <c r="I8" s="1"/>
    </row>
    <row r="9" spans="1:9" x14ac:dyDescent="0.45">
      <c r="A9" s="1"/>
      <c r="B9" s="100" t="s">
        <v>124</v>
      </c>
      <c r="C9" s="101"/>
      <c r="D9" s="101"/>
      <c r="E9" s="101"/>
      <c r="F9" s="102"/>
      <c r="G9" s="23">
        <v>1.3561831199512556E-2</v>
      </c>
      <c r="H9" s="14"/>
      <c r="I9" s="1"/>
    </row>
    <row r="10" spans="1:9" x14ac:dyDescent="0.45">
      <c r="A10" s="1"/>
      <c r="B10" s="100" t="s">
        <v>181</v>
      </c>
      <c r="C10" s="101"/>
      <c r="D10" s="101"/>
      <c r="E10" s="101"/>
      <c r="F10" s="102"/>
      <c r="G10" s="23">
        <v>7.5740939273806563E-3</v>
      </c>
      <c r="H10" s="14"/>
      <c r="I10" s="1"/>
    </row>
    <row r="11" spans="1:9" x14ac:dyDescent="0.45">
      <c r="A11" s="1"/>
      <c r="B11" s="46"/>
      <c r="C11" s="47"/>
      <c r="D11" s="47"/>
      <c r="E11" s="47"/>
      <c r="F11" s="47"/>
      <c r="G11" s="47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7" t="s">
        <v>227</v>
      </c>
      <c r="C13" s="107"/>
      <c r="D13" s="107"/>
      <c r="E13" s="107"/>
      <c r="F13" s="107"/>
      <c r="G13" s="107"/>
      <c r="H13" s="107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ae9fgHAEfkQQWz+BwUGTdMdrAlHT91dFa1nE2qzLNIcQMtukz1aOWai7ljxn5K7kg5fEWIzVHzZRuZkcA38Pbw==" saltValue="FpKHQhs8NuoBpfuV7a3LVg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2020-10-20T06:36:20Z</dcterms:modified>
</cp:coreProperties>
</file>