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Mølleåværket AS (S06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<sst xmlns="http://schemas.openxmlformats.org/spreadsheetml/2006/main" count="609" uniqueCount="290">
  <si>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</si>
  <si>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</si>
  <si>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</si>
  <si>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</si>
  <si>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</si>
  <si>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</si>
  <si>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</si>
  <si>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</si>
  <si>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</si>
  <si>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</si>
  <si>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</si>
  <si>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</si>
  <si>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</si>
  <si>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</si>
  <si>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</si>
  <si>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</si>
  <si>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</si>
  <si>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</si>
  <si>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</si>
  <si>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</si>
  <si>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</si>
  <si>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</si>
  <si>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</si>
  <si>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</si>
  <si>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</si>
  <si>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</si>
  <si>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</si>
  <si>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</si>
  <si>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</si>
  <si>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</si>
  <si>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</si>
  <si>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</si>
  <si>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</si>
  <si>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</si>
  <si>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</si>
  <si>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</si>
  <si>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</si>
  <si>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</si>
  <si>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</si>
  <si>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</si>
  <si>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</si>
  <si>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</si>
  <si>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</si>
  <si>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</si>
  <si>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</si>
  <si>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</si>
  <si>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</si>
  <si>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</si>
  <si>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</si>
  <si>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</si>
  <si>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</si>
  <si>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</si>
  <si>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</si>
  <si>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</si>
  <si>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</si>
  <si>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</si>
  <si>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</si>
  <si>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</si>
  <si>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</si>
  <si>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</si>
  <si>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</si>
  <si>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</si>
  <si>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</si>
  <si>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</si>
  <si>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</si>
  <si>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</si>
  <si>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</si>
  <si>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</si>
  <si>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</si>
  <si>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</si>
  <si>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</si>
  <si>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</si>
  <si>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</si>
  <si>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</si>
  <si>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</si>
  <si>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</si>
  <si>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</si>
  <si>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</si>
  <si>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</si>
  <si>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</si>
  <si>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</si>
  <si>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</si>
  <si>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</si>
  <si>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</si>
  <si>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</si>
  <si>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</si>
  <si>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</si>
  <si>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</si>
  <si>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</si>
  <si>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</si>
  <si>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</si>
  <si>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</si>
  <si>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</si>
  <si>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</si>
  <si>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</si>
  <si>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</si>
  <si>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</si>
  <si>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</si>
  <si>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</si>
  <si>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</si>
  <si>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</si>
  <si>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</si>
  <si>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</si>
  <si>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</si>
  <si>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</si>
  <si>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</si>
  <si>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</si>
  <si>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</si>
  <si>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</si>
  <si>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</si>
  <si>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</si>
  <si>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</si>
  <si>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</si>
  <si>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</si>
  <si>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</si>
  <si>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</si>
  <si>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</si>
  <si>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</si>
  <si>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</si>
  <si>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</si>
  <si>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</si>
  <si>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</si>
  <si>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</si>
  <si>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</si>
  <si>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</si>
  <si>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</si>
  <si>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</si>
  <si>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</si>
  <si>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</si>
  <si>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</si>
  <si>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</si>
  <si>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</si>
  <si>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</si>
  <si>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</si>
  <si>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</si>
  <si>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</si>
  <si>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</si>
  <si>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</si>
  <si>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</si>
  <si>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</si>
  <si>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</si>
  <si>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</si>
  <si>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</si>
  <si>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</si>
  <si>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</si>
  <si>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</si>
  <si>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</si>
  <si>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</si>
  <si>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</si>
  <si>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</si>
  <si>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</si>
  <si>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</si>
  <si>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</si>
  <si>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</si>
  <si>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</si>
  <si>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</si>
  <si>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</si>
  <si>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</si>
  <si>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</si>
  <si>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</si>
  <si>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</si>
  <si>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</si>
  <si>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</si>
  <si>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</si>
  <si>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</si>
  <si>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</si>
  <si>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</si>
  <si>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</si>
  <si>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</si>
  <si>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</si>
  <si>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</si>
  <si>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</si>
  <si>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</si>
  <si>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</si>
  <si>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</si>
  <si>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</si>
  <si>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</si>
  <si>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</si>
  <si>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</si>
  <si>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</si>
  <si>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</si>
  <si>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</si>
  <si>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</si>
  <si>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</si>
  <si>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</si>
  <si>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</si>
  <si>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</si>
  <si>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</si>
  <si>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</si>
  <si>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</si>
  <si>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</si>
  <si>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</si>
  <si>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</si>
  <si>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</si>
  <si>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</si>
  <si>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</si>
  <si>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</si>
  <si>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</si>
  <si>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</si>
  <si>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</si>
  <si>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</si>
  <si>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</si>
  <si>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</si>
  <si>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</si>
  <si>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</si>
  <si>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</si>
  <si>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</si>
  <si>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</si>
  <si>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</si>
  <si>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</si>
  <si>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</si>
  <si>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</si>
  <si>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</si>
  <si>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</si>
  <si>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</si>
  <si>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</si>
  <si>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</si>
  <si>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</si>
  <si>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</si>
  <si>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</si>
  <si>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</si>
  <si>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</si>
  <si>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</si>
  <si>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</si>
  <si>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</si>
  <si>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</si>
  <si>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</si>
  <si>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</si>
  <si>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</si>
  <si>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</si>
  <si>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</si>
  <si>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</si>
  <si>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</si>
  <si>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</si>
  <si>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</si>
  <si>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</si>
  <si>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</si>
  <si>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</si>
  <si>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</si>
  <si>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</si>
  <si>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</si>
  <si>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</si>
  <si>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</si>
  <si>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</si>
  <si>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</si>
  <si>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</si>
  <si>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</si>
  <si>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</si>
  <si>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</si>
  <si>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</si>
  <si>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</si>
  <si>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</si>
  <si>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</si>
  <si>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</si>
  <si>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</si>
  <si>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</si>
  <si>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</si>
  <si>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</si>
  <si>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</si>
  <si>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</si>
  <si>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</si>
  <si>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</si>
  <si>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</si>
  <si>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</si>
  <si>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</si>
  <si>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</si>
  <si>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</si>
  <si>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</si>
  <si>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</si>
  <si>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Øvrige IPO</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</si>
  <si>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</si>
  <si>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</si>
  <si>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</si>
  <si>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</si>
  <si>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</si>
  <si>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</si>
  <si>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</si>
  <si>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</si>
  <si>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</si>
  <si>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</si>
  <si>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</si>
  <si>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</si>
  <si>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</si>
  <si>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</si>
  <si>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</si>
  <si>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Udvidelse af forsyningsområdet</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</si>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</sst>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700Kc6hKHznu8bp8yBisLRmcZXCtoAScJcV7QtLg+rbpszGGtuKOAe9nRgvOCcpPeT6CHp6SoMu+GdzSPrkArA==" saltValue="Ga5MI3YjLEaVAEcCP/SUA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5" t="s">
        <v>32</v>
      </c>
      <c r="C9" s="54" t="s">
        <v>240</v>
      </c>
      <c r="D9" s="11"/>
      <c r="E9" s="1"/>
      <c r="F9" s="1"/>
    </row>
    <row r="10" spans="1:6" x14ac:dyDescent="0.25">
      <c r="A10" s="1"/>
      <c r="B10" s="90" t="s">
        <v>265</v>
      </c>
      <c r="C10" s="9">
        <v>5375324</v>
      </c>
      <c r="D10" s="14" t="s">
        <v>3</v>
      </c>
      <c r="E10" s="1"/>
      <c r="F10" s="1"/>
    </row>
    <row r="11" spans="1:6" x14ac:dyDescent="0.25">
      <c r="A11" s="1"/>
      <c r="B11" s="90" t="s">
        <v>266</v>
      </c>
      <c r="C11" s="9">
        <v>201435</v>
      </c>
      <c r="D11" s="14" t="s">
        <v>3</v>
      </c>
      <c r="E11" s="1"/>
      <c r="F11" s="1"/>
    </row>
    <row r="12" spans="1:6" x14ac:dyDescent="0.25">
      <c r="A12" s="1"/>
      <c r="B12" s="90" t="s">
        <v>267</v>
      </c>
      <c r="C12" s="9">
        <v>2029512</v>
      </c>
      <c r="D12" s="14" t="s">
        <v>3</v>
      </c>
      <c r="E12" s="1"/>
      <c r="F12" s="1"/>
    </row>
    <row r="13" spans="1:6" x14ac:dyDescent="0.25">
      <c r="A13" s="1"/>
      <c r="B13" s="90" t="s">
        <v>268</v>
      </c>
      <c r="C13" s="9">
        <v>861113</v>
      </c>
      <c r="D13" s="14" t="s">
        <v>3</v>
      </c>
      <c r="E13" s="1"/>
      <c r="F13" s="1"/>
    </row>
    <row r="14" spans="1:6" x14ac:dyDescent="0.25">
      <c r="A14" s="1"/>
      <c r="B14" s="90" t="s">
        <v>269</v>
      </c>
      <c r="C14" s="9">
        <v>9276</v>
      </c>
      <c r="D14" s="14" t="s">
        <v>3</v>
      </c>
      <c r="E14" s="1"/>
      <c r="F14" s="1"/>
    </row>
    <row r="15" spans="1:6" x14ac:dyDescent="0.25">
      <c r="A15" s="1"/>
      <c r="B15" s="31" t="s">
        <v>200</v>
      </c>
      <c r="C15" s="12">
        <f>SUM(C10:C14)</f>
        <v>8476660</v>
      </c>
      <c r="D15" s="13" t="s">
        <v>3</v>
      </c>
      <c r="E15" s="1"/>
      <c r="F15" s="1"/>
    </row>
    <row r="16" spans="1:6" x14ac:dyDescent="0.25">
      <c r="A16" s="1"/>
      <c r="B16" s="31" t="s">
        <v>201</v>
      </c>
      <c r="C16" s="12">
        <f>C15*(1+'Fane 15. Nøgletal'!C15)^2</f>
        <v>9090941.1718176007</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117</v>
      </c>
      <c r="C19" s="132"/>
      <c r="D19" s="133"/>
      <c r="E19" s="1"/>
      <c r="F19" s="1"/>
    </row>
    <row r="20" spans="1:6" x14ac:dyDescent="0.25">
      <c r="A20" s="1"/>
      <c r="B20" s="90" t="s">
        <v>99</v>
      </c>
      <c r="C20" s="9">
        <v>0</v>
      </c>
      <c r="D20" s="14" t="s">
        <v>3</v>
      </c>
      <c r="E20" s="1"/>
      <c r="F20" s="1"/>
    </row>
    <row r="21" spans="1:6" x14ac:dyDescent="0.25">
      <c r="A21" s="1"/>
      <c r="B21" s="90" t="s">
        <v>129</v>
      </c>
      <c r="C21" s="9">
        <v>0</v>
      </c>
      <c r="D21" s="14" t="s">
        <v>3</v>
      </c>
      <c r="E21" s="1"/>
      <c r="F21" s="1"/>
    </row>
    <row r="22" spans="1:6" x14ac:dyDescent="0.25">
      <c r="A22" s="1"/>
      <c r="B22" s="90" t="s">
        <v>155</v>
      </c>
      <c r="C22" s="9">
        <v>0</v>
      </c>
      <c r="D22" s="14" t="s">
        <v>3</v>
      </c>
      <c r="E22" s="1"/>
      <c r="F22" s="1"/>
    </row>
    <row r="23" spans="1:6" x14ac:dyDescent="0.25">
      <c r="A23" s="1"/>
      <c r="B23" s="32" t="s">
        <v>202</v>
      </c>
      <c r="C23" s="9">
        <v>0</v>
      </c>
      <c r="D23" s="39"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98</v>
      </c>
      <c r="C27" s="132"/>
      <c r="D27" s="133"/>
      <c r="E27" s="1"/>
      <c r="F27" s="1"/>
    </row>
    <row r="28" spans="1:6" x14ac:dyDescent="0.25">
      <c r="A28" s="1"/>
      <c r="B28" s="90" t="s">
        <v>99</v>
      </c>
      <c r="C28" s="9">
        <v>0</v>
      </c>
      <c r="D28" s="14" t="s">
        <v>3</v>
      </c>
      <c r="E28" s="1"/>
      <c r="F28" s="1"/>
    </row>
    <row r="29" spans="1:6" x14ac:dyDescent="0.25">
      <c r="A29" s="1"/>
      <c r="B29" s="90" t="s">
        <v>129</v>
      </c>
      <c r="C29" s="9">
        <v>0</v>
      </c>
      <c r="D29" s="14" t="s">
        <v>3</v>
      </c>
      <c r="E29" s="1"/>
      <c r="F29" s="1"/>
    </row>
    <row r="30" spans="1:6" x14ac:dyDescent="0.25">
      <c r="A30" s="1"/>
      <c r="B30" s="90" t="s">
        <v>155</v>
      </c>
      <c r="C30" s="9">
        <v>0</v>
      </c>
      <c r="D30" s="14" t="s">
        <v>3</v>
      </c>
      <c r="E30" s="1"/>
      <c r="F30" s="1"/>
    </row>
    <row r="31" spans="1:6" x14ac:dyDescent="0.25">
      <c r="A31" s="1"/>
      <c r="B31" s="32" t="s">
        <v>202</v>
      </c>
      <c r="C31" s="9">
        <v>0</v>
      </c>
      <c r="D31" s="39"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8"/>
      <c r="B49" s="48"/>
      <c r="C49" s="48"/>
      <c r="D49" s="48"/>
      <c r="E49" s="48"/>
      <c r="F49" s="48"/>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sheetData>
  <sheetProtection algorithmName="SHA-512" hashValue="OaLNsfWNOl+tSxDrBUPy4OwQnKSwO8ypJFM9UdTw0Z3dYIiCCreqVgyB1Tr3KHdopb8zQ86KUhTNvcyOeUGcCg==" saltValue="a53HTow2i4XAboueVMMHLg=="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78"/>
      <c r="C5" s="78"/>
      <c r="D5" s="78"/>
      <c r="E5" s="78"/>
      <c r="F5" s="78"/>
      <c r="G5" s="1"/>
    </row>
    <row r="6" spans="1:7" ht="15" customHeight="1" x14ac:dyDescent="0.25">
      <c r="A6" s="1"/>
      <c r="B6" s="78"/>
      <c r="C6" s="78"/>
      <c r="D6" s="78"/>
      <c r="E6" s="78"/>
      <c r="F6" s="78"/>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-5887883.3985264972</v>
      </c>
      <c r="F9" s="14" t="s">
        <v>3</v>
      </c>
      <c r="G9" s="1"/>
    </row>
    <row r="10" spans="1:7" x14ac:dyDescent="0.25">
      <c r="A10" s="1"/>
      <c r="B10" s="136" t="s">
        <v>263</v>
      </c>
      <c r="C10" s="137"/>
      <c r="D10" s="138"/>
      <c r="E10" s="9">
        <v>-5887883.3985264972</v>
      </c>
      <c r="F10" s="14" t="s">
        <v>3</v>
      </c>
      <c r="G10" s="1"/>
    </row>
    <row r="11" spans="1:7" x14ac:dyDescent="0.25">
      <c r="A11" s="1"/>
      <c r="B11" s="31"/>
      <c r="C11" s="26"/>
      <c r="D11" s="26"/>
      <c r="E11" s="26"/>
      <c r="F11" s="18"/>
      <c r="G11" s="1"/>
    </row>
    <row r="12" spans="1:7" ht="81" customHeight="1" x14ac:dyDescent="0.25">
      <c r="A12" s="1"/>
      <c r="B12" s="121" t="s">
        <v>288</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281</v>
      </c>
      <c r="C15" s="137"/>
      <c r="D15" s="138"/>
      <c r="E15" s="9">
        <v>-2481610.9862077981</v>
      </c>
      <c r="F15" s="14" t="s">
        <v>3</v>
      </c>
      <c r="G15" s="1"/>
    </row>
    <row r="16" spans="1:7" x14ac:dyDescent="0.25">
      <c r="A16" s="1"/>
      <c r="B16" s="136" t="s">
        <v>282</v>
      </c>
      <c r="C16" s="137"/>
      <c r="D16" s="138"/>
      <c r="E16" s="9">
        <v>-2481610.9862077981</v>
      </c>
      <c r="F16" s="14" t="s">
        <v>3</v>
      </c>
      <c r="G16" s="1"/>
    </row>
    <row r="17" spans="1:7" x14ac:dyDescent="0.25">
      <c r="A17" s="1"/>
      <c r="B17" s="31"/>
      <c r="C17" s="26"/>
      <c r="D17" s="26"/>
      <c r="E17" s="26"/>
      <c r="F17" s="18"/>
      <c r="G17" s="1"/>
    </row>
    <row r="18" spans="1:7" ht="31.5" customHeight="1" x14ac:dyDescent="0.25">
      <c r="A18" s="1"/>
      <c r="B18" s="121" t="s">
        <v>289</v>
      </c>
      <c r="C18" s="122"/>
      <c r="D18" s="122"/>
      <c r="E18" s="122"/>
      <c r="F18" s="123"/>
      <c r="G18" s="1"/>
    </row>
    <row r="19" spans="1:7" ht="28.5" customHeight="1" x14ac:dyDescent="0.25">
      <c r="A19" s="1"/>
      <c r="B19" s="1"/>
      <c r="C19" s="1"/>
      <c r="D19" s="1"/>
      <c r="E19" s="1"/>
      <c r="F19" s="1"/>
      <c r="G19" s="1"/>
    </row>
    <row r="20" spans="1:7" ht="28.5" customHeight="1" x14ac:dyDescent="0.25">
      <c r="A20" s="1"/>
      <c r="B20" s="82" t="s">
        <v>205</v>
      </c>
      <c r="C20" s="83"/>
      <c r="D20" s="83"/>
      <c r="E20" s="83"/>
      <c r="F20" s="84"/>
      <c r="G20" s="1"/>
    </row>
    <row r="21" spans="1:7" x14ac:dyDescent="0.25">
      <c r="A21" s="1"/>
      <c r="B21" s="87" t="s">
        <v>206</v>
      </c>
      <c r="C21" s="88"/>
      <c r="D21" s="89"/>
      <c r="E21" s="9">
        <v>65371155.919532582</v>
      </c>
      <c r="F21" s="14" t="s">
        <v>3</v>
      </c>
      <c r="G21" s="1"/>
    </row>
    <row r="22" spans="1:7" x14ac:dyDescent="0.25">
      <c r="A22" s="1"/>
      <c r="B22" s="87" t="s">
        <v>207</v>
      </c>
      <c r="C22" s="88"/>
      <c r="D22" s="89"/>
      <c r="E22" s="9">
        <v>64905183</v>
      </c>
      <c r="F22" s="14" t="s">
        <v>3</v>
      </c>
      <c r="G22" s="1"/>
    </row>
    <row r="23" spans="1:7" x14ac:dyDescent="0.25">
      <c r="A23" s="1"/>
      <c r="B23" s="87" t="s">
        <v>33</v>
      </c>
      <c r="C23" s="88"/>
      <c r="D23" s="89"/>
      <c r="E23" s="9">
        <v>0</v>
      </c>
      <c r="F23" s="14" t="s">
        <v>3</v>
      </c>
      <c r="G23" s="1"/>
    </row>
    <row r="24" spans="1:7" x14ac:dyDescent="0.25">
      <c r="A24" s="1"/>
      <c r="B24" s="85" t="s">
        <v>270</v>
      </c>
      <c r="C24" s="86"/>
      <c r="D24" s="92"/>
      <c r="E24" s="68">
        <f>E21-(E22-E23)</f>
        <v>465972.91953258216</v>
      </c>
      <c r="F24" s="17" t="s">
        <v>3</v>
      </c>
      <c r="G24" s="1"/>
    </row>
    <row r="25" spans="1:7" x14ac:dyDescent="0.25">
      <c r="A25" s="1"/>
      <c r="B25" s="31"/>
      <c r="C25" s="26"/>
      <c r="D25" s="26"/>
      <c r="E25" s="26"/>
      <c r="F25" s="18"/>
      <c r="G25" s="1"/>
    </row>
    <row r="26" spans="1:7" x14ac:dyDescent="0.25">
      <c r="A26" s="1"/>
      <c r="B26" s="1"/>
      <c r="C26" s="1"/>
      <c r="D26" s="1"/>
      <c r="E26" s="1"/>
      <c r="F26" s="1"/>
      <c r="G26" s="1"/>
    </row>
    <row r="27" spans="1:7" x14ac:dyDescent="0.25">
      <c r="A27" s="1"/>
      <c r="B27" s="131" t="s">
        <v>283</v>
      </c>
      <c r="C27" s="132"/>
      <c r="D27" s="132"/>
      <c r="E27" s="132"/>
      <c r="F27" s="133"/>
      <c r="G27" s="1"/>
    </row>
    <row r="28" spans="1:7" x14ac:dyDescent="0.25">
      <c r="A28" s="1"/>
      <c r="B28" s="134" t="s">
        <v>284</v>
      </c>
      <c r="C28" s="135"/>
      <c r="D28" s="158"/>
      <c r="E28" s="69">
        <f>IF(AND(E9&gt;0,(E9+E24)&gt;0),0,IF(AND(E9&gt;0,(E9+E24)&lt;0),0,IF(AND(E9&lt;0,E24&gt;0,E10=0),0,IF(AND(E9&lt;0,E24&gt;0,ABS(E10)&lt;ABS(E24)),ABS(E16),IF(AND(E9&lt;0,E24&gt;0,ABS(E10)&gt;ABS(E24),ABS(E16)&gt;ABS(E24)),-(ABS(E16)-ABS(E24)),IF(AND(E9&lt;0,E24&gt;0,ABS(E10)&gt;ABS(E24),ABS(E16)&lt;ABS(E24)),E24-ABS(E16),IF(AND(E9&lt;0,E24&lt;0),E16,0)))))))</f>
        <v>-2015638.066675216</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1" t="s">
        <v>143</v>
      </c>
      <c r="C32" s="152"/>
      <c r="D32" s="153"/>
      <c r="E32" s="70">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54" t="s">
        <v>144</v>
      </c>
      <c r="C34" s="154"/>
      <c r="D34" s="154"/>
      <c r="E34" s="69">
        <f>E32/E33</f>
        <v>0</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8"/>
      <c r="B40" s="48"/>
      <c r="C40" s="48"/>
      <c r="D40" s="48"/>
      <c r="E40" s="48"/>
      <c r="F40" s="48"/>
      <c r="G40" s="48"/>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DKPghsdVw3jvWz6wXDAl/wE9oLqBbAgGHkzBsgaQfJRzlNrkEg85xXaUlAg2+VsSNSpV+Rw7fbl4EodC0jhGqQ==" saltValue="oofg1zFu1cj38NOPLjMlU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5" customWidth="1"/>
    <col min="2" max="2" width="22.5703125" style="65" customWidth="1"/>
    <col min="3" max="3" width="8.28515625" style="65" customWidth="1"/>
    <col min="4" max="6" width="10.7109375" style="65" customWidth="1"/>
    <col min="7" max="7" width="11.140625" style="65" customWidth="1"/>
    <col min="8" max="8" width="3.28515625" style="65" customWidth="1"/>
    <col min="9" max="9" width="4.85546875" style="65" customWidth="1"/>
    <col min="10" max="16384" width="9.140625" style="6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272</v>
      </c>
      <c r="C10" s="160"/>
      <c r="D10" s="160"/>
      <c r="E10" s="160"/>
      <c r="F10" s="161"/>
      <c r="G10" s="9">
        <v>0</v>
      </c>
      <c r="H10" s="9" t="s">
        <v>3</v>
      </c>
      <c r="I10" s="1"/>
    </row>
    <row r="11" spans="1:9" x14ac:dyDescent="0.25">
      <c r="A11" s="1"/>
      <c r="B11" s="159" t="s">
        <v>273</v>
      </c>
      <c r="C11" s="160"/>
      <c r="D11" s="160"/>
      <c r="E11" s="160"/>
      <c r="F11" s="161"/>
      <c r="G11" s="9">
        <v>0</v>
      </c>
      <c r="H11" s="9" t="s">
        <v>3</v>
      </c>
      <c r="I11" s="1"/>
    </row>
    <row r="12" spans="1:9" x14ac:dyDescent="0.25">
      <c r="A12" s="1"/>
      <c r="B12" s="159" t="s">
        <v>274</v>
      </c>
      <c r="C12" s="160"/>
      <c r="D12" s="160"/>
      <c r="E12" s="160"/>
      <c r="F12" s="161"/>
      <c r="G12" s="9">
        <v>0</v>
      </c>
      <c r="H12" s="9" t="s">
        <v>3</v>
      </c>
      <c r="I12" s="1"/>
    </row>
    <row r="13" spans="1:9" x14ac:dyDescent="0.25">
      <c r="A13" s="1"/>
      <c r="B13" s="159" t="s">
        <v>275</v>
      </c>
      <c r="C13" s="160"/>
      <c r="D13" s="160"/>
      <c r="E13" s="160"/>
      <c r="F13" s="161"/>
      <c r="G13" s="9">
        <v>0</v>
      </c>
      <c r="H13" s="9" t="s">
        <v>3</v>
      </c>
      <c r="I13" s="1"/>
    </row>
    <row r="14" spans="1:9" x14ac:dyDescent="0.25">
      <c r="A14" s="1"/>
      <c r="B14" s="159" t="s">
        <v>276</v>
      </c>
      <c r="C14" s="160"/>
      <c r="D14" s="160"/>
      <c r="E14" s="160"/>
      <c r="F14" s="161"/>
      <c r="G14" s="9">
        <v>0</v>
      </c>
      <c r="H14" s="9" t="s">
        <v>3</v>
      </c>
      <c r="I14" s="1"/>
    </row>
    <row r="15" spans="1:9" x14ac:dyDescent="0.25">
      <c r="A15" s="1"/>
      <c r="B15" s="159" t="s">
        <v>277</v>
      </c>
      <c r="C15" s="160"/>
      <c r="D15" s="160"/>
      <c r="E15" s="160"/>
      <c r="F15" s="161"/>
      <c r="G15" s="9">
        <v>0</v>
      </c>
      <c r="H15" s="9" t="s">
        <v>3</v>
      </c>
      <c r="I15" s="1"/>
    </row>
    <row r="16" spans="1:9" x14ac:dyDescent="0.25">
      <c r="A16" s="1"/>
      <c r="B16" s="159" t="s">
        <v>278</v>
      </c>
      <c r="C16" s="160"/>
      <c r="D16" s="160"/>
      <c r="E16" s="160"/>
      <c r="F16" s="161"/>
      <c r="G16" s="9">
        <v>0</v>
      </c>
      <c r="H16" s="9" t="s">
        <v>3</v>
      </c>
      <c r="I16" s="1"/>
    </row>
    <row r="17" spans="1:9" x14ac:dyDescent="0.25">
      <c r="A17" s="1"/>
      <c r="B17" s="159" t="s">
        <v>279</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7czq2jG/RMVwJI/55MbUCXoouSrwdjwlOEziVCUcUns48EHoKRORzWcOM1qRw+71JvundXFxwK+yuapzkVSfnA==" saltValue="xqhwLcBLFZ0Wb2x+vLl30w=="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8"/>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c r="F14" s="8" t="s">
        <v>3</v>
      </c>
      <c r="G14" s="1"/>
    </row>
    <row r="15" spans="1:7" x14ac:dyDescent="0.25">
      <c r="A15" s="1"/>
      <c r="B15" s="121" t="s">
        <v>211</v>
      </c>
      <c r="C15" s="122"/>
      <c r="D15" s="123"/>
      <c r="E15" s="9"/>
      <c r="F15" s="8" t="s">
        <v>3</v>
      </c>
      <c r="G15" s="1"/>
    </row>
    <row r="16" spans="1:7" x14ac:dyDescent="0.25">
      <c r="A16" s="1"/>
      <c r="B16" s="134" t="s">
        <v>101</v>
      </c>
      <c r="C16" s="135"/>
      <c r="D16" s="158"/>
      <c r="E16" s="10">
        <f>E15-E14</f>
        <v>0</v>
      </c>
      <c r="F16" s="11" t="s">
        <v>3</v>
      </c>
      <c r="G16" s="1"/>
    </row>
    <row r="17" spans="1:7" x14ac:dyDescent="0.25">
      <c r="A17" s="1"/>
      <c r="B17" s="31" t="s">
        <v>212</v>
      </c>
      <c r="C17" s="26"/>
      <c r="D17" s="26"/>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PJBl+De2xWq/NBWk6M0osUCy4hAKb729L39sqqSZVwiDwuq3JiO3QTDnbRVdHPjp6yG/HyJrOpYLIb6bFSmHA==" saltValue="s77Scuh2zLaKvRWPXIFyI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54" t="s">
        <v>0</v>
      </c>
      <c r="C9" s="54" t="s">
        <v>1</v>
      </c>
      <c r="D9" s="162" t="s">
        <v>245</v>
      </c>
      <c r="E9" s="163"/>
      <c r="F9" s="162" t="s">
        <v>2</v>
      </c>
      <c r="G9" s="163"/>
      <c r="H9" s="162" t="s">
        <v>244</v>
      </c>
      <c r="I9" s="163"/>
      <c r="J9" s="162" t="s">
        <v>30</v>
      </c>
      <c r="K9" s="163"/>
      <c r="L9" s="1"/>
    </row>
    <row r="10" spans="1:12" x14ac:dyDescent="0.25">
      <c r="A10" s="1"/>
      <c r="B10" s="93" t="s">
        <v>280</v>
      </c>
      <c r="C10" s="40">
        <v>0</v>
      </c>
      <c r="D10" s="9">
        <v>0</v>
      </c>
      <c r="E10" s="14" t="s">
        <v>3</v>
      </c>
      <c r="F10" s="9">
        <f>IFERROR(D10/C10,0)</f>
        <v>0</v>
      </c>
      <c r="G10" s="14" t="s">
        <v>3</v>
      </c>
      <c r="H10" s="43">
        <v>0</v>
      </c>
      <c r="I10" s="14" t="s">
        <v>3</v>
      </c>
      <c r="J10" s="43">
        <v>0</v>
      </c>
      <c r="K10" s="14" t="s">
        <v>3</v>
      </c>
      <c r="L10" s="1"/>
    </row>
    <row r="11" spans="1:12" x14ac:dyDescent="0.25">
      <c r="A11" s="1"/>
      <c r="B11" s="82" t="s">
        <v>220</v>
      </c>
      <c r="C11" s="83"/>
      <c r="D11" s="84"/>
      <c r="E11" s="84"/>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Vu8lo6lo8976/irqQzqIAD411n/wQB5WZNzAh96luhqfjcb+/+BMGORt6p5A1bk3TtQaIfq+1wZMbM66kJ21Wg==" saltValue="3WsBr9DQBHnNASHopwy49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1" t="s">
        <v>80</v>
      </c>
      <c r="C8" s="26"/>
      <c r="D8" s="26"/>
      <c r="E8" s="26"/>
      <c r="F8" s="18"/>
      <c r="G8" s="1"/>
    </row>
    <row r="9" spans="1:7" ht="17.25" customHeight="1" x14ac:dyDescent="0.25">
      <c r="A9" s="1"/>
      <c r="B9" s="80" t="s">
        <v>17</v>
      </c>
      <c r="C9" s="80" t="s">
        <v>11</v>
      </c>
      <c r="D9" s="81"/>
      <c r="E9" s="80" t="s">
        <v>31</v>
      </c>
      <c r="F9" s="30"/>
      <c r="G9" s="1"/>
    </row>
    <row r="10" spans="1:7" x14ac:dyDescent="0.25">
      <c r="A10" s="1"/>
      <c r="B10" s="22" t="s">
        <v>226</v>
      </c>
      <c r="C10" s="20">
        <f>'Fane 10. Anlægsprojekter (§ 19)'!H11</f>
        <v>0</v>
      </c>
      <c r="D10" s="14" t="s">
        <v>3</v>
      </c>
      <c r="E10" s="9">
        <f>SUM('Fane 10. Anlægsprojekter (§ 19)'!F11,'Fane 10. Anlægsprojekter (§ 19)'!J11)</f>
        <v>0</v>
      </c>
      <c r="F10" s="14" t="s">
        <v>3</v>
      </c>
      <c r="G10" s="1"/>
    </row>
    <row r="11" spans="1:7" x14ac:dyDescent="0.25">
      <c r="A11" s="1"/>
      <c r="B11" s="22" t="s">
        <v>285</v>
      </c>
      <c r="C11" s="20">
        <v>135536</v>
      </c>
      <c r="D11" s="14" t="s">
        <v>3</v>
      </c>
      <c r="E11" s="9">
        <v>0</v>
      </c>
      <c r="F11" s="14" t="s">
        <v>3</v>
      </c>
      <c r="G11" s="1"/>
    </row>
    <row r="12" spans="1:7" x14ac:dyDescent="0.25">
      <c r="A12" s="1"/>
      <c r="B12" s="31" t="s">
        <v>156</v>
      </c>
      <c r="C12" s="12">
        <f>SUM(C10:C11)</f>
        <v>135536</v>
      </c>
      <c r="D12" s="13" t="s">
        <v>3</v>
      </c>
      <c r="E12" s="12">
        <f>SUM(E10:E11)</f>
        <v>0</v>
      </c>
      <c r="F12" s="13" t="s">
        <v>3</v>
      </c>
      <c r="G12" s="1"/>
    </row>
    <row r="13" spans="1:7" x14ac:dyDescent="0.25">
      <c r="A13" s="1"/>
      <c r="B13" s="31" t="s">
        <v>213</v>
      </c>
      <c r="C13" s="12">
        <f>C12*(1+'Fane 15. Nøgletal'!C15)</f>
        <v>140361.0816</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KPGEgSRZqk6WXvqU0s/Y2TapXmLM62PHNs3nYZQN2Q+mjJblVCBR0Nf7/ki4ldrx+kMVT1ZYO24I0aU1NborQ==" saltValue="eFzZBFDMcIdWBaDHgiSJa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0" t="s">
        <v>17</v>
      </c>
      <c r="C9" s="80" t="s">
        <v>11</v>
      </c>
      <c r="D9" s="81"/>
      <c r="E9" s="80" t="s">
        <v>31</v>
      </c>
      <c r="F9" s="30"/>
      <c r="G9" s="1"/>
    </row>
    <row r="10" spans="1:7" x14ac:dyDescent="0.25">
      <c r="A10" s="1"/>
      <c r="B10" s="22" t="s">
        <v>286</v>
      </c>
      <c r="C10" s="20">
        <v>0</v>
      </c>
      <c r="D10" s="14" t="s">
        <v>3</v>
      </c>
      <c r="E10" s="9">
        <v>0</v>
      </c>
      <c r="F10" s="14" t="s">
        <v>3</v>
      </c>
      <c r="G10" s="1"/>
    </row>
    <row r="11" spans="1:7" x14ac:dyDescent="0.25">
      <c r="A11" s="1"/>
      <c r="B11" s="31" t="s">
        <v>232</v>
      </c>
      <c r="C11" s="12">
        <f>SUM(C10:C10)</f>
        <v>0</v>
      </c>
      <c r="D11" s="13" t="s">
        <v>3</v>
      </c>
      <c r="E11" s="12">
        <f>SUM(E10:E10)</f>
        <v>0</v>
      </c>
      <c r="F11" s="13" t="s">
        <v>3</v>
      </c>
      <c r="G11" s="1"/>
    </row>
    <row r="12" spans="1:7" x14ac:dyDescent="0.25">
      <c r="A12" s="1"/>
      <c r="B12" s="31"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56"/>
      <c r="C15" s="56"/>
      <c r="D15" s="56"/>
      <c r="E15" s="56"/>
      <c r="F15" s="57"/>
      <c r="G15" s="1"/>
    </row>
    <row r="16" spans="1:7" x14ac:dyDescent="0.25">
      <c r="A16" s="1"/>
      <c r="B16" s="58"/>
      <c r="C16" s="59"/>
      <c r="D16" s="60"/>
      <c r="E16" s="61"/>
      <c r="F16" s="60"/>
      <c r="G16" s="1"/>
    </row>
    <row r="17" spans="1:7" x14ac:dyDescent="0.25">
      <c r="A17" s="1"/>
      <c r="B17" s="58"/>
      <c r="C17" s="59"/>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4"/>
      <c r="C21" s="164"/>
      <c r="D21" s="164"/>
      <c r="E21" s="164"/>
      <c r="F21" s="164"/>
      <c r="G21" s="1"/>
    </row>
    <row r="22" spans="1:7" x14ac:dyDescent="0.25">
      <c r="A22" s="1"/>
      <c r="B22" s="56"/>
      <c r="C22" s="56"/>
      <c r="D22" s="56"/>
      <c r="E22" s="56"/>
      <c r="F22" s="57"/>
      <c r="G22" s="1"/>
    </row>
    <row r="23" spans="1:7" x14ac:dyDescent="0.25">
      <c r="A23" s="1"/>
      <c r="B23" s="58"/>
      <c r="C23" s="59"/>
      <c r="D23" s="60"/>
      <c r="E23" s="61"/>
      <c r="F23" s="60"/>
      <c r="G23" s="1"/>
    </row>
    <row r="24" spans="1:7" x14ac:dyDescent="0.25">
      <c r="A24" s="1"/>
      <c r="B24" s="58"/>
      <c r="C24" s="59"/>
      <c r="D24" s="60"/>
      <c r="E24" s="61"/>
      <c r="F24" s="60"/>
      <c r="G24" s="1"/>
    </row>
    <row r="25" spans="1:7" x14ac:dyDescent="0.25">
      <c r="A25" s="1"/>
      <c r="B25" s="62"/>
      <c r="C25" s="63"/>
      <c r="D25" s="64"/>
      <c r="E25" s="63"/>
      <c r="F25" s="64"/>
      <c r="G25" s="1"/>
    </row>
    <row r="26" spans="1:7" x14ac:dyDescent="0.25">
      <c r="A26" s="1"/>
      <c r="B26" s="62"/>
      <c r="C26" s="63"/>
      <c r="D26" s="64"/>
      <c r="E26" s="63"/>
      <c r="F26" s="64"/>
      <c r="G26" s="1"/>
    </row>
    <row r="27" spans="1:7" x14ac:dyDescent="0.25">
      <c r="A27" s="1"/>
      <c r="B27" s="55"/>
      <c r="C27" s="55"/>
      <c r="D27" s="55"/>
      <c r="E27" s="55"/>
      <c r="F27" s="55"/>
      <c r="G27" s="1"/>
    </row>
    <row r="28" spans="1:7" x14ac:dyDescent="0.25">
      <c r="A28" s="1"/>
      <c r="B28" s="164"/>
      <c r="C28" s="164"/>
      <c r="D28" s="164"/>
      <c r="E28" s="164"/>
      <c r="F28" s="164"/>
      <c r="G28" s="1"/>
    </row>
    <row r="29" spans="1:7" x14ac:dyDescent="0.25">
      <c r="A29" s="1"/>
      <c r="B29" s="56"/>
      <c r="C29" s="56"/>
      <c r="D29" s="56"/>
      <c r="E29" s="56"/>
      <c r="F29" s="57"/>
      <c r="G29" s="1"/>
    </row>
    <row r="30" spans="1:7" x14ac:dyDescent="0.25">
      <c r="A30" s="1"/>
      <c r="B30" s="58"/>
      <c r="C30" s="59"/>
      <c r="D30" s="60"/>
      <c r="E30" s="61"/>
      <c r="F30" s="60"/>
      <c r="G30" s="1"/>
    </row>
    <row r="31" spans="1:7" x14ac:dyDescent="0.25">
      <c r="A31" s="1"/>
      <c r="B31" s="58"/>
      <c r="C31" s="59"/>
      <c r="D31" s="60"/>
      <c r="E31" s="61"/>
      <c r="F31" s="60"/>
      <c r="G31" s="1"/>
    </row>
    <row r="32" spans="1:7" x14ac:dyDescent="0.25">
      <c r="A32" s="1"/>
      <c r="B32" s="62"/>
      <c r="C32" s="63"/>
      <c r="D32" s="64"/>
      <c r="E32" s="63"/>
      <c r="F32" s="64"/>
      <c r="G32" s="1"/>
    </row>
    <row r="33" spans="1:7" x14ac:dyDescent="0.25">
      <c r="A33" s="1"/>
      <c r="B33" s="62"/>
      <c r="C33" s="63"/>
      <c r="D33" s="64"/>
      <c r="E33" s="63"/>
      <c r="F33" s="64"/>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vlhxO+FEy3ATD+Z7StJty09qWIupJb84vgV5omNWEAok82JWel6R6Tkjn+F0FEAnP00N0+DF8NP6dMlkvN4zhA==" saltValue="QDRNwVxHA7jPF/cSR6xyY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RKsPUAZigQvVYoZeA6n8Ionc3wOYZYQ37V5dM8Su47UvKu/Wevb952sQALhtTupzX8OUMmoS4X4DthpRjJ9ww==" saltValue="Q3jnyd5jP+805NOZRFDif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85546875" style="2" customWidth="1"/>
    <col min="2" max="2" width="41.5703125" style="2" customWidth="1"/>
    <col min="3" max="3" width="15.5703125" style="2" customWidth="1"/>
    <col min="4" max="4" width="3.28515625" style="2" customWidth="1"/>
    <col min="5" max="5" width="17.140625" style="2" customWidth="1"/>
    <col min="6" max="6" width="3.28515625" style="2" customWidth="1"/>
    <col min="7" max="7" width="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29" t="s">
        <v>133</v>
      </c>
      <c r="C9" s="29" t="s">
        <v>11</v>
      </c>
      <c r="D9" s="30"/>
      <c r="E9" s="29" t="s">
        <v>31</v>
      </c>
      <c r="F9" s="30"/>
      <c r="G9" s="1"/>
    </row>
    <row r="10" spans="1:7" x14ac:dyDescent="0.25">
      <c r="A10" s="1"/>
      <c r="B10" s="22" t="s">
        <v>271</v>
      </c>
      <c r="C10" s="9">
        <v>0</v>
      </c>
      <c r="D10" s="14" t="s">
        <v>3</v>
      </c>
      <c r="E10" s="9">
        <v>0</v>
      </c>
      <c r="F10" s="14" t="s">
        <v>3</v>
      </c>
      <c r="G10" s="1"/>
    </row>
    <row r="11" spans="1:7" ht="28.5" customHeight="1" x14ac:dyDescent="0.25">
      <c r="A11" s="1"/>
      <c r="B11" s="19" t="s">
        <v>159</v>
      </c>
      <c r="C11" s="12">
        <f>SUM(C10:C10)</f>
        <v>0</v>
      </c>
      <c r="D11" s="13" t="s">
        <v>3</v>
      </c>
      <c r="E11" s="12">
        <f>SUM(E10:E10)</f>
        <v>0</v>
      </c>
      <c r="F11" s="13" t="s">
        <v>3</v>
      </c>
      <c r="G11" s="1"/>
    </row>
    <row r="12" spans="1:7" ht="27" customHeight="1" x14ac:dyDescent="0.25">
      <c r="A12" s="1"/>
      <c r="B12" s="19"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e/KzTHBafB0lzIpZtS/g6tWqJBcfjbCdJS7CUSW8Y1i3WuoxIGZDN3vO7tGDs/ZyVzJme5s6UMkY9DkAg72EWg==" saltValue="Hm43k6ngn8xGcVEBYU8+w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29" t="s">
        <v>18</v>
      </c>
      <c r="C10" s="29" t="s">
        <v>11</v>
      </c>
      <c r="D10" s="30"/>
      <c r="E10" s="29" t="s">
        <v>31</v>
      </c>
      <c r="F10" s="30"/>
      <c r="G10" s="1"/>
    </row>
    <row r="11" spans="1:7" x14ac:dyDescent="0.25">
      <c r="A11" s="1"/>
      <c r="B11" s="22" t="s">
        <v>177</v>
      </c>
      <c r="C11" s="9">
        <v>0</v>
      </c>
      <c r="D11" s="14" t="s">
        <v>3</v>
      </c>
      <c r="E11" s="9">
        <v>0</v>
      </c>
      <c r="F11" s="14" t="s">
        <v>3</v>
      </c>
      <c r="G11" s="1"/>
    </row>
    <row r="12" spans="1:7" x14ac:dyDescent="0.25">
      <c r="A12" s="1"/>
      <c r="B12" s="31" t="s">
        <v>234</v>
      </c>
      <c r="C12" s="12">
        <f>SUM(C11:C11)</f>
        <v>0</v>
      </c>
      <c r="D12" s="13" t="s">
        <v>3</v>
      </c>
      <c r="E12" s="12">
        <f>SUM(E11:E11)</f>
        <v>0</v>
      </c>
      <c r="F12" s="13" t="s">
        <v>3</v>
      </c>
      <c r="G12" s="1"/>
    </row>
    <row r="13" spans="1:7" x14ac:dyDescent="0.25">
      <c r="A13" s="1"/>
      <c r="B13" s="31"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57"/>
      <c r="C16" s="57"/>
      <c r="D16" s="57"/>
      <c r="E16" s="57"/>
      <c r="F16" s="57"/>
      <c r="G16" s="1"/>
    </row>
    <row r="17" spans="1:7" x14ac:dyDescent="0.25">
      <c r="A17" s="1"/>
      <c r="B17" s="58"/>
      <c r="C17" s="61"/>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4"/>
      <c r="C21" s="164"/>
      <c r="D21" s="164"/>
      <c r="E21" s="164"/>
      <c r="F21" s="164"/>
      <c r="G21" s="1"/>
    </row>
    <row r="22" spans="1:7" x14ac:dyDescent="0.25">
      <c r="A22" s="1"/>
      <c r="B22" s="57"/>
      <c r="C22" s="57"/>
      <c r="D22" s="57"/>
      <c r="E22" s="57"/>
      <c r="F22" s="57"/>
      <c r="G22" s="1"/>
    </row>
    <row r="23" spans="1:7" x14ac:dyDescent="0.25">
      <c r="A23" s="1"/>
      <c r="B23" s="58"/>
      <c r="C23" s="61"/>
      <c r="D23" s="60"/>
      <c r="E23" s="61"/>
      <c r="F23" s="60"/>
      <c r="G23" s="1"/>
    </row>
    <row r="24" spans="1:7" x14ac:dyDescent="0.25">
      <c r="A24" s="1"/>
      <c r="B24" s="62"/>
      <c r="C24" s="63"/>
      <c r="D24" s="64"/>
      <c r="E24" s="63"/>
      <c r="F24" s="64"/>
      <c r="G24" s="1"/>
    </row>
    <row r="25" spans="1:7" x14ac:dyDescent="0.25">
      <c r="A25" s="1"/>
      <c r="B25" s="62"/>
      <c r="C25" s="63"/>
      <c r="D25" s="64"/>
      <c r="E25" s="63"/>
      <c r="F25" s="64"/>
      <c r="G25" s="1"/>
    </row>
    <row r="26" spans="1:7" x14ac:dyDescent="0.25">
      <c r="A26" s="1"/>
      <c r="B26" s="55"/>
      <c r="C26" s="55"/>
      <c r="D26" s="55"/>
      <c r="E26" s="55"/>
      <c r="F26" s="55"/>
      <c r="G26" s="1"/>
    </row>
    <row r="27" spans="1:7" x14ac:dyDescent="0.25">
      <c r="A27" s="1"/>
      <c r="B27" s="164"/>
      <c r="C27" s="164"/>
      <c r="D27" s="164"/>
      <c r="E27" s="164"/>
      <c r="F27" s="164"/>
      <c r="G27" s="1"/>
    </row>
    <row r="28" spans="1:7" x14ac:dyDescent="0.25">
      <c r="A28" s="1"/>
      <c r="B28" s="57"/>
      <c r="C28" s="57"/>
      <c r="D28" s="57"/>
      <c r="E28" s="57"/>
      <c r="F28" s="57"/>
      <c r="G28" s="1"/>
    </row>
    <row r="29" spans="1:7" x14ac:dyDescent="0.25">
      <c r="A29" s="1"/>
      <c r="B29" s="58"/>
      <c r="C29" s="61"/>
      <c r="D29" s="60"/>
      <c r="E29" s="61"/>
      <c r="F29" s="60"/>
      <c r="G29" s="1"/>
    </row>
    <row r="30" spans="1:7" x14ac:dyDescent="0.25">
      <c r="A30" s="1"/>
      <c r="B30" s="62"/>
      <c r="C30" s="63"/>
      <c r="D30" s="64"/>
      <c r="E30" s="63"/>
      <c r="F30" s="64"/>
      <c r="G30" s="1"/>
    </row>
    <row r="31" spans="1:7" x14ac:dyDescent="0.25">
      <c r="A31" s="1"/>
      <c r="B31" s="62"/>
      <c r="C31" s="63"/>
      <c r="D31" s="64"/>
      <c r="E31" s="63"/>
      <c r="F31" s="64"/>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kYtUURGqDYqakc+1kVlFwUC/2Qx2jVjBeKz+sxbsRj9JmDnnPfWVorHgWWW9+5yG9OutKu/CNvtBJsFl1h19dg==" saltValue="w+Z/aMaLPa4GluF/dCcc3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1" t="s">
        <v>13</v>
      </c>
      <c r="C8" s="26"/>
      <c r="D8" s="18"/>
      <c r="E8" s="1"/>
    </row>
    <row r="9" spans="1:5" x14ac:dyDescent="0.25">
      <c r="A9" s="1"/>
      <c r="B9" s="27" t="s">
        <v>126</v>
      </c>
      <c r="C9" s="7">
        <f>'Fane 3. Omkostninger i ØR2022'!E20</f>
        <v>54508034.79940439</v>
      </c>
      <c r="D9" s="8" t="s">
        <v>3</v>
      </c>
      <c r="E9" s="1"/>
    </row>
    <row r="10" spans="1:5" ht="17.25" customHeight="1" x14ac:dyDescent="0.25">
      <c r="A10" s="1"/>
      <c r="B10" s="79" t="s">
        <v>39</v>
      </c>
      <c r="C10" s="7">
        <f>'Fane 11.1. Varige tillæg'!C13</f>
        <v>140361.0816</v>
      </c>
      <c r="D10" s="8" t="s">
        <v>3</v>
      </c>
      <c r="E10" s="1"/>
    </row>
    <row r="11" spans="1:5" ht="17.25" customHeight="1" x14ac:dyDescent="0.25">
      <c r="A11" s="1"/>
      <c r="B11" s="79" t="s">
        <v>40</v>
      </c>
      <c r="C11" s="9">
        <f>'Fane 11.1. Varige tillæg'!E13</f>
        <v>0</v>
      </c>
      <c r="D11" s="8" t="s">
        <v>3</v>
      </c>
      <c r="E11" s="1"/>
    </row>
    <row r="12" spans="1:5" ht="17.25" customHeight="1" x14ac:dyDescent="0.25">
      <c r="A12" s="1"/>
      <c r="B12" s="79" t="s">
        <v>27</v>
      </c>
      <c r="C12" s="9">
        <f>-'Fane 14. Bortfald'!C13</f>
        <v>0</v>
      </c>
      <c r="D12" s="8" t="s">
        <v>3</v>
      </c>
      <c r="E12" s="1"/>
    </row>
    <row r="13" spans="1:5" ht="17.25" customHeight="1" x14ac:dyDescent="0.25">
      <c r="A13" s="1"/>
      <c r="B13" s="79" t="s">
        <v>26</v>
      </c>
      <c r="C13" s="9">
        <f>-'Fane 14. Bortfald'!E13</f>
        <v>0</v>
      </c>
      <c r="D13" s="8" t="s">
        <v>3</v>
      </c>
      <c r="E13" s="1"/>
    </row>
    <row r="14" spans="1:5" ht="17.25" customHeight="1" x14ac:dyDescent="0.25">
      <c r="A14" s="1"/>
      <c r="B14" s="79" t="s">
        <v>124</v>
      </c>
      <c r="C14" s="9">
        <f>'Fane 13. Tilknyttet virksomhed'!C12</f>
        <v>0</v>
      </c>
      <c r="D14" s="8" t="s">
        <v>3</v>
      </c>
      <c r="E14" s="1"/>
    </row>
    <row r="15" spans="1:5" ht="17.25" customHeight="1" x14ac:dyDescent="0.25">
      <c r="A15" s="1"/>
      <c r="B15" s="79" t="s">
        <v>125</v>
      </c>
      <c r="C15" s="9">
        <f>'Fane 13. Tilknyttet virksomhed'!E12</f>
        <v>0</v>
      </c>
      <c r="D15" s="8" t="s">
        <v>3</v>
      </c>
      <c r="E15" s="1"/>
    </row>
    <row r="16" spans="1:5" ht="17.25" customHeight="1" x14ac:dyDescent="0.25">
      <c r="A16" s="1"/>
      <c r="B16" s="79" t="s">
        <v>19</v>
      </c>
      <c r="C16" s="43">
        <f>SUM(C9)*'Fane 15. Nøgletal'!C14+SUM(C10:C15)*'Fane 15. Nøgletal'!C15</f>
        <v>184873.3693429945</v>
      </c>
      <c r="D16" s="8" t="s">
        <v>3</v>
      </c>
      <c r="E16" s="1"/>
    </row>
    <row r="17" spans="1:5" ht="17.25" customHeight="1" x14ac:dyDescent="0.25">
      <c r="A17" s="1"/>
      <c r="B17" s="79" t="s">
        <v>10</v>
      </c>
      <c r="C17" s="43">
        <f>-SUM(C9,C10:C16)*'Fane 5. Individuelt eff. krav'!G9</f>
        <v>-1096665.3850069479</v>
      </c>
      <c r="D17" s="8" t="s">
        <v>3</v>
      </c>
      <c r="E17" s="1"/>
    </row>
    <row r="18" spans="1:5" ht="17.25" customHeight="1" x14ac:dyDescent="0.25">
      <c r="A18" s="1"/>
      <c r="B18" s="79" t="s">
        <v>24</v>
      </c>
      <c r="C18" s="43">
        <f>-'Fane 4.1. Gen. krav - drift'!G45</f>
        <v>-576458.77866898198</v>
      </c>
      <c r="D18" s="8" t="s">
        <v>3</v>
      </c>
      <c r="E18" s="1"/>
    </row>
    <row r="19" spans="1:5" ht="17.25" customHeight="1" x14ac:dyDescent="0.25">
      <c r="A19" s="1"/>
      <c r="B19" s="79" t="s">
        <v>25</v>
      </c>
      <c r="C19" s="43">
        <f>-'Fane 4.2. Gen. krav - anlæg'!G43</f>
        <v>-419690.36484210449</v>
      </c>
      <c r="D19" s="8" t="s">
        <v>3</v>
      </c>
      <c r="E19" s="47"/>
    </row>
    <row r="20" spans="1:5" ht="17.25" customHeight="1" x14ac:dyDescent="0.25">
      <c r="A20" s="1"/>
      <c r="B20" s="85" t="s">
        <v>21</v>
      </c>
      <c r="C20" s="10">
        <f>SUM(C9:C19)</f>
        <v>52740454.721829355</v>
      </c>
      <c r="D20" s="11" t="s">
        <v>3</v>
      </c>
      <c r="E20" s="1"/>
    </row>
    <row r="21" spans="1:5" ht="15" customHeight="1" x14ac:dyDescent="0.25">
      <c r="A21" s="1"/>
      <c r="B21" s="31" t="s">
        <v>12</v>
      </c>
      <c r="C21" s="26"/>
      <c r="D21" s="18"/>
      <c r="E21" s="1"/>
    </row>
    <row r="22" spans="1:5" ht="15" customHeight="1" x14ac:dyDescent="0.25">
      <c r="A22" s="1"/>
      <c r="B22" s="29" t="s">
        <v>12</v>
      </c>
      <c r="C22" s="10">
        <f>'Fane 6. Ikke-påvirkelige omk.'!C16+'Fane 6. Ikke-påvirkelige omk.'!C20+'Fane 6. Ikke-påvirkelige omk.'!C28</f>
        <v>9090941.1718176007</v>
      </c>
      <c r="D22" s="11" t="s">
        <v>3</v>
      </c>
      <c r="E22" s="1"/>
    </row>
    <row r="23" spans="1:5" ht="15" customHeight="1" x14ac:dyDescent="0.25">
      <c r="A23" s="1"/>
      <c r="B23" s="31" t="s">
        <v>86</v>
      </c>
      <c r="C23" s="26"/>
      <c r="D23" s="18"/>
      <c r="E23" s="1"/>
    </row>
    <row r="24" spans="1:5" ht="15" customHeight="1" x14ac:dyDescent="0.25">
      <c r="A24" s="1"/>
      <c r="B24" s="85" t="s">
        <v>86</v>
      </c>
      <c r="C24" s="10">
        <f>'Fane 12. Periodevise driftsomk.'!E13</f>
        <v>0</v>
      </c>
      <c r="D24" s="11" t="s">
        <v>3</v>
      </c>
      <c r="E24" s="1"/>
    </row>
    <row r="25" spans="1:5" ht="15" customHeight="1" x14ac:dyDescent="0.25">
      <c r="A25" s="1"/>
      <c r="B25" s="46" t="s">
        <v>85</v>
      </c>
      <c r="C25" s="44"/>
      <c r="D25" s="45"/>
      <c r="E25" s="1"/>
    </row>
    <row r="26" spans="1:5" ht="15" customHeight="1" x14ac:dyDescent="0.25">
      <c r="A26" s="1"/>
      <c r="B26" s="79" t="s">
        <v>231</v>
      </c>
      <c r="C26" s="71">
        <f>'Fane 11.2. Engangstillæg'!C12</f>
        <v>0</v>
      </c>
      <c r="D26" s="8" t="s">
        <v>3</v>
      </c>
      <c r="E26" s="1"/>
    </row>
    <row r="27" spans="1:5" ht="15" customHeight="1" x14ac:dyDescent="0.25">
      <c r="A27" s="1"/>
      <c r="B27" s="79" t="s">
        <v>82</v>
      </c>
      <c r="C27" s="71">
        <f>'Fane 11.2. Engangstillæg'!E12</f>
        <v>0</v>
      </c>
      <c r="D27" s="8" t="s">
        <v>3</v>
      </c>
      <c r="E27" s="1"/>
    </row>
    <row r="28" spans="1:5" ht="15" customHeight="1" x14ac:dyDescent="0.25">
      <c r="A28" s="1"/>
      <c r="B28" s="79" t="s">
        <v>238</v>
      </c>
      <c r="C28" s="71">
        <f>-C26*('Fane 15. Nøgletal'!C31+'Fane 5. Individuelt eff. krav'!G9)</f>
        <v>0</v>
      </c>
      <c r="D28" s="8" t="s">
        <v>3</v>
      </c>
      <c r="E28" s="1"/>
    </row>
    <row r="29" spans="1:5" ht="15" customHeight="1" x14ac:dyDescent="0.25">
      <c r="A29" s="1"/>
      <c r="B29" s="79" t="s">
        <v>239</v>
      </c>
      <c r="C29" s="71">
        <f>-C27*('Fane 15. Nøgletal'!C26+'Fane 5. Individuelt eff. krav'!G9)</f>
        <v>0</v>
      </c>
      <c r="D29" s="8" t="s">
        <v>3</v>
      </c>
      <c r="E29" s="1"/>
    </row>
    <row r="30" spans="1:5" ht="15" customHeight="1" x14ac:dyDescent="0.25">
      <c r="A30" s="1"/>
      <c r="B30" s="91" t="s">
        <v>87</v>
      </c>
      <c r="C30" s="10">
        <f>SUM(C26:C29)</f>
        <v>0</v>
      </c>
      <c r="D30" s="11" t="s">
        <v>3</v>
      </c>
      <c r="E30" s="1"/>
    </row>
    <row r="31" spans="1:5" x14ac:dyDescent="0.25">
      <c r="A31" s="1"/>
      <c r="B31" s="31" t="s">
        <v>143</v>
      </c>
      <c r="C31" s="26"/>
      <c r="D31" s="18"/>
      <c r="E31" s="1"/>
    </row>
    <row r="32" spans="1:5" x14ac:dyDescent="0.25">
      <c r="A32" s="1"/>
      <c r="B32" s="29" t="s">
        <v>180</v>
      </c>
      <c r="C32" s="10">
        <f>'Fane 7. Kontrol af ØR2021'!E28</f>
        <v>-2015638.066675216</v>
      </c>
      <c r="D32" s="11" t="s">
        <v>3</v>
      </c>
      <c r="E32" s="1"/>
    </row>
    <row r="33" spans="1:5" ht="15" customHeight="1" x14ac:dyDescent="0.25">
      <c r="A33" s="1"/>
      <c r="B33" s="31" t="s">
        <v>185</v>
      </c>
      <c r="C33" s="26"/>
      <c r="D33" s="18"/>
      <c r="E33" s="1"/>
    </row>
    <row r="34" spans="1:5" x14ac:dyDescent="0.25">
      <c r="A34" s="1"/>
      <c r="B34" s="29" t="s">
        <v>185</v>
      </c>
      <c r="C34" s="10">
        <f>'Fane 9. Korrektion af ØR2021'!E17</f>
        <v>0</v>
      </c>
      <c r="D34" s="11" t="s">
        <v>3</v>
      </c>
      <c r="E34" s="1"/>
    </row>
    <row r="35" spans="1:5" x14ac:dyDescent="0.25">
      <c r="A35" s="1"/>
      <c r="B35" s="28" t="s">
        <v>175</v>
      </c>
      <c r="C35" s="26"/>
      <c r="D35" s="18"/>
      <c r="E35" s="1"/>
    </row>
    <row r="36" spans="1:5" x14ac:dyDescent="0.25">
      <c r="A36" s="1"/>
      <c r="B36" s="91" t="s">
        <v>176</v>
      </c>
      <c r="C36" s="10">
        <f>'Fane 8. Skattesagen'!G12</f>
        <v>0</v>
      </c>
      <c r="D36" s="11" t="s">
        <v>3</v>
      </c>
      <c r="E36" s="1"/>
    </row>
    <row r="37" spans="1:5" x14ac:dyDescent="0.25">
      <c r="A37" s="1"/>
      <c r="B37" s="31" t="s">
        <v>90</v>
      </c>
      <c r="C37" s="53">
        <f>SUM(C34,C32,C24,C30,C22,C20,C36)</f>
        <v>59815757.82697174</v>
      </c>
      <c r="D37" s="28"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Rqnpakgyt0pnnz8CwPCh+SXCYVCNf8/bt/P9I7MYE/eKfZOKYETYk7SAZQ28hiNHoLfY3seW9AA/3Ab1LHcopA==" saltValue="jgMWbHxFr5uEBTjfAB+E0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1" t="s">
        <v>14</v>
      </c>
      <c r="C8" s="18"/>
      <c r="D8" s="1"/>
    </row>
    <row r="9" spans="1:4" x14ac:dyDescent="0.25">
      <c r="A9" s="1"/>
      <c r="B9" s="90" t="s">
        <v>112</v>
      </c>
      <c r="C9" s="23">
        <v>1.2699999999999999E-2</v>
      </c>
      <c r="D9" s="1"/>
    </row>
    <row r="10" spans="1:4" x14ac:dyDescent="0.25">
      <c r="A10" s="1"/>
      <c r="B10" s="90" t="s">
        <v>113</v>
      </c>
      <c r="C10" s="23">
        <v>1.7500000000000002E-2</v>
      </c>
      <c r="D10" s="1"/>
    </row>
    <row r="11" spans="1:4" x14ac:dyDescent="0.25">
      <c r="A11" s="1"/>
      <c r="B11" s="90" t="s">
        <v>23</v>
      </c>
      <c r="C11" s="23">
        <v>1.6899999999999998E-2</v>
      </c>
      <c r="D11" s="1"/>
    </row>
    <row r="12" spans="1:4" x14ac:dyDescent="0.25">
      <c r="A12" s="1"/>
      <c r="B12" s="32" t="s">
        <v>172</v>
      </c>
      <c r="C12" s="33">
        <v>1.9699999999999999E-2</v>
      </c>
      <c r="D12" s="1"/>
    </row>
    <row r="13" spans="1:4" x14ac:dyDescent="0.25">
      <c r="A13" s="1"/>
      <c r="B13" s="32" t="s">
        <v>135</v>
      </c>
      <c r="C13" s="33">
        <v>1.2200000000000001E-2</v>
      </c>
      <c r="D13" s="1"/>
    </row>
    <row r="14" spans="1:4" x14ac:dyDescent="0.25">
      <c r="A14" s="1"/>
      <c r="B14" s="90" t="s">
        <v>171</v>
      </c>
      <c r="C14" s="41">
        <v>3.3E-3</v>
      </c>
      <c r="D14" s="1"/>
    </row>
    <row r="15" spans="1:4" x14ac:dyDescent="0.25">
      <c r="A15" s="1"/>
      <c r="B15" s="32" t="s">
        <v>223</v>
      </c>
      <c r="C15" s="66">
        <v>3.56E-2</v>
      </c>
      <c r="D15" s="1"/>
    </row>
    <row r="16" spans="1:4" x14ac:dyDescent="0.25">
      <c r="A16" s="1"/>
      <c r="B16" s="31"/>
      <c r="C16" s="18"/>
      <c r="D16" s="1"/>
    </row>
    <row r="17" spans="1:4" x14ac:dyDescent="0.25">
      <c r="A17" s="1"/>
      <c r="B17" s="1"/>
      <c r="C17" s="1"/>
      <c r="D17" s="1"/>
    </row>
    <row r="18" spans="1:4" x14ac:dyDescent="0.25">
      <c r="A18" s="1"/>
      <c r="B18" s="1"/>
      <c r="C18" s="1"/>
      <c r="D18" s="1"/>
    </row>
    <row r="19" spans="1:4" x14ac:dyDescent="0.25">
      <c r="A19" s="1"/>
      <c r="B19" s="31" t="s">
        <v>103</v>
      </c>
      <c r="C19" s="18"/>
      <c r="D19" s="1"/>
    </row>
    <row r="20" spans="1:4" x14ac:dyDescent="0.25">
      <c r="A20" s="1"/>
      <c r="B20" s="90" t="s">
        <v>114</v>
      </c>
      <c r="C20" s="21">
        <v>9.1000000000000004E-3</v>
      </c>
      <c r="D20" s="1"/>
    </row>
    <row r="21" spans="1:4" x14ac:dyDescent="0.25">
      <c r="A21" s="1"/>
      <c r="B21" s="90" t="s">
        <v>145</v>
      </c>
      <c r="C21" s="21">
        <v>1.77E-2</v>
      </c>
      <c r="D21" s="1"/>
    </row>
    <row r="22" spans="1:4" x14ac:dyDescent="0.25">
      <c r="A22" s="1"/>
      <c r="B22" s="90" t="s">
        <v>146</v>
      </c>
      <c r="C22" s="21">
        <v>8.6999999999999994E-3</v>
      </c>
      <c r="D22" s="1"/>
    </row>
    <row r="23" spans="1:4" x14ac:dyDescent="0.25">
      <c r="A23" s="1"/>
      <c r="B23" s="90" t="s">
        <v>115</v>
      </c>
      <c r="C23" s="34">
        <v>2.8400000000000002E-2</v>
      </c>
      <c r="D23" s="1"/>
    </row>
    <row r="24" spans="1:4" x14ac:dyDescent="0.25">
      <c r="A24" s="1"/>
      <c r="B24" s="90" t="s">
        <v>147</v>
      </c>
      <c r="C24" s="34">
        <v>2.75E-2</v>
      </c>
      <c r="D24" s="1"/>
    </row>
    <row r="25" spans="1:4" x14ac:dyDescent="0.25">
      <c r="A25" s="1"/>
      <c r="B25" s="90" t="s">
        <v>148</v>
      </c>
      <c r="C25" s="34">
        <v>1.4800000000000001E-2</v>
      </c>
      <c r="D25" s="1"/>
    </row>
    <row r="26" spans="1:4" x14ac:dyDescent="0.25">
      <c r="A26" s="1"/>
      <c r="B26" s="32" t="s">
        <v>216</v>
      </c>
      <c r="C26" s="67">
        <v>0</v>
      </c>
      <c r="D26" s="1"/>
    </row>
    <row r="27" spans="1:4" x14ac:dyDescent="0.25">
      <c r="A27" s="1"/>
      <c r="B27" s="31"/>
      <c r="C27" s="18"/>
      <c r="D27" s="1"/>
    </row>
    <row r="28" spans="1:4" x14ac:dyDescent="0.25">
      <c r="A28" s="1"/>
      <c r="B28" s="1"/>
      <c r="C28" s="1"/>
      <c r="D28" s="1"/>
    </row>
    <row r="29" spans="1:4" x14ac:dyDescent="0.25">
      <c r="A29" s="1"/>
      <c r="B29" s="1"/>
      <c r="C29" s="1"/>
      <c r="D29" s="1"/>
    </row>
    <row r="30" spans="1:4" x14ac:dyDescent="0.25">
      <c r="A30" s="1"/>
      <c r="B30" s="31" t="s">
        <v>104</v>
      </c>
      <c r="C30" s="18"/>
      <c r="D30" s="1"/>
    </row>
    <row r="31" spans="1:4" x14ac:dyDescent="0.25">
      <c r="A31" s="1"/>
      <c r="B31" s="90" t="s">
        <v>116</v>
      </c>
      <c r="C31" s="23">
        <v>0.02</v>
      </c>
      <c r="D31" s="1"/>
    </row>
    <row r="32" spans="1:4" x14ac:dyDescent="0.25">
      <c r="A32" s="1"/>
      <c r="B32" s="31"/>
      <c r="C32" s="18"/>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wrfqbjxARTMawdwofuzfjLLbfo2f8Q27ulAawRNkfV9oDOD6UV9nTvC/iBcQxRKqyu/PIo0yIhu4jofio+Km9A==" saltValue="iAwZQihUG9fgherevjpVx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1" t="s">
        <v>13</v>
      </c>
      <c r="C8" s="26"/>
      <c r="D8" s="18"/>
      <c r="E8" s="1"/>
    </row>
    <row r="9" spans="1:5" ht="15" customHeight="1" x14ac:dyDescent="0.25">
      <c r="A9" s="1"/>
      <c r="B9" s="27" t="s">
        <v>127</v>
      </c>
      <c r="C9" s="7">
        <f>'Fane 2.1. Økonomisk ramme 2023'!C20</f>
        <v>52740454.721829355</v>
      </c>
      <c r="D9" s="8" t="s">
        <v>3</v>
      </c>
      <c r="E9" s="1"/>
    </row>
    <row r="10" spans="1:5" ht="15" customHeight="1" x14ac:dyDescent="0.25">
      <c r="A10" s="1"/>
      <c r="B10" s="24" t="s">
        <v>19</v>
      </c>
      <c r="C10" s="7">
        <f>SUM(C9:C9)*'Fane 15. Nøgletal'!C15</f>
        <v>1877560.1880971249</v>
      </c>
      <c r="D10" s="8" t="s">
        <v>3</v>
      </c>
      <c r="E10" s="1"/>
    </row>
    <row r="11" spans="1:5" ht="15" customHeight="1" x14ac:dyDescent="0.25">
      <c r="A11" s="1"/>
      <c r="B11" s="24" t="s">
        <v>10</v>
      </c>
      <c r="C11" s="9">
        <f>-SUM(C9:C10)*'Fane 5. Individuelt eff. krav'!G9</f>
        <v>-1092360.2981985298</v>
      </c>
      <c r="D11" s="8" t="s">
        <v>3</v>
      </c>
      <c r="E11" s="1"/>
    </row>
    <row r="12" spans="1:5" ht="15" customHeight="1" x14ac:dyDescent="0.25">
      <c r="A12" s="1"/>
      <c r="B12" s="24" t="s">
        <v>24</v>
      </c>
      <c r="C12" s="9">
        <f>-'Fane 4.1. Gen. krav - drift'!G53</f>
        <v>-585041.09696580586</v>
      </c>
      <c r="D12" s="8" t="s">
        <v>3</v>
      </c>
      <c r="E12" s="1"/>
    </row>
    <row r="13" spans="1:5" ht="15" customHeight="1" x14ac:dyDescent="0.25">
      <c r="A13" s="1"/>
      <c r="B13" s="24" t="s">
        <v>25</v>
      </c>
      <c r="C13" s="9">
        <f>-'Fane 4.2. Gen. krav - anlæg'!G54</f>
        <v>0</v>
      </c>
      <c r="D13" s="8" t="s">
        <v>3</v>
      </c>
      <c r="E13" s="1"/>
    </row>
    <row r="14" spans="1:5" ht="15" customHeight="1" x14ac:dyDescent="0.25">
      <c r="A14" s="1"/>
      <c r="B14" s="25" t="s">
        <v>21</v>
      </c>
      <c r="C14" s="10">
        <f>SUM(C9:C13)</f>
        <v>52940613.514762148</v>
      </c>
      <c r="D14" s="11" t="s">
        <v>3</v>
      </c>
      <c r="E14" s="1"/>
    </row>
    <row r="15" spans="1:5" x14ac:dyDescent="0.25">
      <c r="A15" s="1"/>
      <c r="B15" s="31" t="s">
        <v>12</v>
      </c>
      <c r="C15" s="26"/>
      <c r="D15" s="18"/>
      <c r="E15" s="1"/>
    </row>
    <row r="16" spans="1:5" ht="15" customHeight="1" x14ac:dyDescent="0.25">
      <c r="A16" s="1"/>
      <c r="B16" s="29" t="s">
        <v>12</v>
      </c>
      <c r="C16" s="10">
        <f>'Fane 6. Ikke-påvirkelige omk.'!C16*(1+'Fane 15. Nøgletal'!C15)+'Fane 6. Ikke-påvirkelige omk.'!C21+'Fane 6. Ikke-påvirkelige omk.'!C29</f>
        <v>9414578.6775343083</v>
      </c>
      <c r="D16" s="11" t="s">
        <v>3</v>
      </c>
      <c r="E16" s="1"/>
    </row>
    <row r="17" spans="1:5" ht="15" customHeight="1" x14ac:dyDescent="0.25">
      <c r="A17" s="1"/>
      <c r="B17" s="31" t="s">
        <v>86</v>
      </c>
      <c r="C17" s="26"/>
      <c r="D17" s="18"/>
      <c r="E17" s="1"/>
    </row>
    <row r="18" spans="1:5" ht="15" customHeight="1" x14ac:dyDescent="0.25">
      <c r="A18" s="1"/>
      <c r="B18" s="85" t="s">
        <v>86</v>
      </c>
      <c r="C18" s="10">
        <f>'Fane 12. Periodevise driftsomk.'!E19</f>
        <v>0</v>
      </c>
      <c r="D18" s="11" t="s">
        <v>3</v>
      </c>
      <c r="E18" s="1"/>
    </row>
    <row r="19" spans="1:5" x14ac:dyDescent="0.25">
      <c r="A19" s="1"/>
      <c r="B19" s="31" t="s">
        <v>143</v>
      </c>
      <c r="C19" s="26"/>
      <c r="D19" s="18"/>
      <c r="E19" s="1"/>
    </row>
    <row r="20" spans="1:5" ht="15" customHeight="1" x14ac:dyDescent="0.25">
      <c r="A20" s="1"/>
      <c r="B20" s="29" t="s">
        <v>180</v>
      </c>
      <c r="C20" s="10">
        <f>'Fane 7. Kontrol af ØR2021'!E34</f>
        <v>0</v>
      </c>
      <c r="D20" s="11" t="s">
        <v>3</v>
      </c>
      <c r="E20" s="1"/>
    </row>
    <row r="21" spans="1:5" x14ac:dyDescent="0.25">
      <c r="A21" s="1"/>
      <c r="B21" s="28" t="s">
        <v>175</v>
      </c>
      <c r="C21" s="26"/>
      <c r="D21" s="18"/>
      <c r="E21" s="1"/>
    </row>
    <row r="22" spans="1:5" x14ac:dyDescent="0.25">
      <c r="A22" s="1"/>
      <c r="B22" s="91" t="s">
        <v>176</v>
      </c>
      <c r="C22" s="10">
        <f>'Fane 8. Skattesagen'!G13</f>
        <v>0</v>
      </c>
      <c r="D22" s="11" t="s">
        <v>3</v>
      </c>
      <c r="E22" s="1"/>
    </row>
    <row r="23" spans="1:5" x14ac:dyDescent="0.25">
      <c r="A23" s="1"/>
      <c r="B23" s="31" t="s">
        <v>128</v>
      </c>
      <c r="C23" s="12">
        <f>SUM(C14,C16,C18,C20,C22)</f>
        <v>62355192.19229646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eeDLPhH/YPcQHEbolzN585o6aikCgzVRYqd52KlqfvNiV7Lwr8ugWqooUIRF/Q31FkJZSasIQZu8eR3+gpl3lg==" saltValue="KL4mOOxfdufd6XjgIbMcz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77"/>
      <c r="C6" s="77"/>
      <c r="D6" s="77"/>
      <c r="E6" s="1"/>
    </row>
    <row r="7" spans="1:5" x14ac:dyDescent="0.25">
      <c r="A7" s="1"/>
      <c r="B7" s="1"/>
      <c r="C7" s="1"/>
      <c r="D7" s="1"/>
      <c r="E7" s="1"/>
    </row>
    <row r="8" spans="1:5" x14ac:dyDescent="0.25">
      <c r="A8" s="1"/>
      <c r="B8" s="31" t="s">
        <v>13</v>
      </c>
      <c r="C8" s="26"/>
      <c r="D8" s="18"/>
      <c r="E8" s="1"/>
    </row>
    <row r="9" spans="1:5" ht="15" customHeight="1" x14ac:dyDescent="0.25">
      <c r="A9" s="1"/>
      <c r="B9" s="27" t="s">
        <v>233</v>
      </c>
      <c r="C9" s="7">
        <f>'Fane 2.2. Økonomisk ramme 2024'!C14</f>
        <v>52940613.514762148</v>
      </c>
      <c r="D9" s="8" t="s">
        <v>3</v>
      </c>
      <c r="E9" s="1"/>
    </row>
    <row r="10" spans="1:5" ht="15" customHeight="1" x14ac:dyDescent="0.25">
      <c r="A10" s="1"/>
      <c r="B10" s="24" t="s">
        <v>19</v>
      </c>
      <c r="C10" s="7">
        <f>SUM(C9:C9)*'Fane 15. Nøgletal'!C15</f>
        <v>1884685.8411255325</v>
      </c>
      <c r="D10" s="8" t="s">
        <v>3</v>
      </c>
      <c r="E10" s="1"/>
    </row>
    <row r="11" spans="1:5" ht="15" customHeight="1" x14ac:dyDescent="0.25">
      <c r="A11" s="1"/>
      <c r="B11" s="24" t="s">
        <v>10</v>
      </c>
      <c r="C11" s="9">
        <f>-SUM(C9:C10)*'Fane 5. Individuelt eff. krav'!G9</f>
        <v>-1096505.9871177536</v>
      </c>
      <c r="D11" s="8" t="s">
        <v>3</v>
      </c>
      <c r="E11" s="1"/>
    </row>
    <row r="12" spans="1:5" ht="15" customHeight="1" x14ac:dyDescent="0.25">
      <c r="A12" s="1"/>
      <c r="B12" s="24" t="s">
        <v>24</v>
      </c>
      <c r="C12" s="9">
        <f>-'Fane 4.1. Gen. krav - drift'!G58</f>
        <v>-593751.18881743297</v>
      </c>
      <c r="D12" s="8" t="s">
        <v>3</v>
      </c>
      <c r="E12" s="1"/>
    </row>
    <row r="13" spans="1:5" ht="15" customHeight="1" x14ac:dyDescent="0.25">
      <c r="A13" s="1"/>
      <c r="B13" s="24" t="s">
        <v>25</v>
      </c>
      <c r="C13" s="9">
        <f>-'Fane 4.2. Gen. krav - anlæg'!G59</f>
        <v>0</v>
      </c>
      <c r="D13" s="8" t="s">
        <v>3</v>
      </c>
      <c r="E13" s="1"/>
    </row>
    <row r="14" spans="1:5" x14ac:dyDescent="0.25">
      <c r="A14" s="1"/>
      <c r="B14" s="25" t="s">
        <v>21</v>
      </c>
      <c r="C14" s="10">
        <f>SUM(C9:C13)</f>
        <v>53135042.179952495</v>
      </c>
      <c r="D14" s="11" t="s">
        <v>3</v>
      </c>
      <c r="E14" s="1"/>
    </row>
    <row r="15" spans="1:5" x14ac:dyDescent="0.25">
      <c r="A15" s="1"/>
      <c r="B15" s="31" t="s">
        <v>12</v>
      </c>
      <c r="C15" s="26"/>
      <c r="D15" s="18"/>
      <c r="E15" s="1"/>
    </row>
    <row r="16" spans="1:5" ht="15" customHeight="1" x14ac:dyDescent="0.25">
      <c r="A16" s="1"/>
      <c r="B16" s="29" t="s">
        <v>12</v>
      </c>
      <c r="C16" s="10">
        <f>'Fane 6. Ikke-påvirkelige omk.'!C16*(1+'Fane 15. Nøgletal'!C15)^2+'Fane 6. Ikke-påvirkelige omk.'!C22+'Fane 6. Ikke-påvirkelige omk.'!C30</f>
        <v>9749737.6784545295</v>
      </c>
      <c r="D16" s="11" t="s">
        <v>3</v>
      </c>
      <c r="E16" s="1"/>
    </row>
    <row r="17" spans="1:5" ht="15" customHeight="1" x14ac:dyDescent="0.25">
      <c r="A17" s="1"/>
      <c r="B17" s="31" t="s">
        <v>86</v>
      </c>
      <c r="C17" s="26"/>
      <c r="D17" s="18"/>
      <c r="E17" s="1"/>
    </row>
    <row r="18" spans="1:5" ht="15" customHeight="1" x14ac:dyDescent="0.25">
      <c r="A18" s="1"/>
      <c r="B18" s="85" t="s">
        <v>86</v>
      </c>
      <c r="C18" s="10">
        <f>'Fane 12. Periodevise driftsomk.'!E25</f>
        <v>0</v>
      </c>
      <c r="D18" s="11" t="s">
        <v>3</v>
      </c>
      <c r="E18" s="1"/>
    </row>
    <row r="19" spans="1:5" ht="15" customHeight="1" x14ac:dyDescent="0.25">
      <c r="A19" s="1"/>
      <c r="B19" s="31" t="s">
        <v>143</v>
      </c>
      <c r="C19" s="26"/>
      <c r="D19" s="18"/>
      <c r="E19" s="1"/>
    </row>
    <row r="20" spans="1:5" ht="15" customHeight="1" x14ac:dyDescent="0.25">
      <c r="A20" s="1"/>
      <c r="B20" s="29" t="s">
        <v>180</v>
      </c>
      <c r="C20" s="10">
        <f>'Fane 7. Kontrol af ØR2021'!E34</f>
        <v>0</v>
      </c>
      <c r="D20" s="11" t="s">
        <v>3</v>
      </c>
      <c r="E20" s="1"/>
    </row>
    <row r="21" spans="1:5" x14ac:dyDescent="0.25">
      <c r="A21" s="1"/>
      <c r="B21" s="28" t="s">
        <v>175</v>
      </c>
      <c r="C21" s="26"/>
      <c r="D21" s="18"/>
      <c r="E21" s="1"/>
    </row>
    <row r="22" spans="1:5" x14ac:dyDescent="0.25">
      <c r="A22" s="1"/>
      <c r="B22" s="91" t="s">
        <v>176</v>
      </c>
      <c r="C22" s="10">
        <f>'Fane 8. Skattesagen'!G14</f>
        <v>0</v>
      </c>
      <c r="D22" s="11" t="s">
        <v>3</v>
      </c>
      <c r="E22" s="1"/>
    </row>
    <row r="23" spans="1:5" x14ac:dyDescent="0.25">
      <c r="A23" s="1"/>
      <c r="B23" s="31" t="s">
        <v>149</v>
      </c>
      <c r="C23" s="12">
        <f>SUM(C14,C16,C18,C20,C22)</f>
        <v>62884779.858407021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0bxYBmQKGfkMCWzAf4mzZ60RobyMhsHmOdmJ59BfNql6ULboPqtVF+m40X6h8Eq+PPvrEYylbL6sulGqZzab1g==" saltValue="xiTWu+Q/x0S6FbHpCxkKs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77"/>
      <c r="C6" s="77"/>
      <c r="D6" s="77"/>
      <c r="E6" s="1"/>
    </row>
    <row r="7" spans="1:5" x14ac:dyDescent="0.25">
      <c r="A7" s="1"/>
      <c r="B7" s="1"/>
      <c r="C7" s="1"/>
      <c r="D7" s="1"/>
      <c r="E7" s="1"/>
    </row>
    <row r="8" spans="1:5" x14ac:dyDescent="0.25">
      <c r="A8" s="1"/>
      <c r="B8" s="31" t="s">
        <v>13</v>
      </c>
      <c r="C8" s="26"/>
      <c r="D8" s="18"/>
      <c r="E8" s="1"/>
    </row>
    <row r="9" spans="1:5" ht="15" customHeight="1" x14ac:dyDescent="0.25">
      <c r="A9" s="1"/>
      <c r="B9" s="27" t="s">
        <v>189</v>
      </c>
      <c r="C9" s="7">
        <f>'Fane 2.3. Økonomisk ramme 2025'!C14</f>
        <v>53135042.179952495</v>
      </c>
      <c r="D9" s="8" t="s">
        <v>3</v>
      </c>
      <c r="E9" s="1"/>
    </row>
    <row r="10" spans="1:5" ht="15" customHeight="1" x14ac:dyDescent="0.25">
      <c r="A10" s="1"/>
      <c r="B10" s="24" t="s">
        <v>19</v>
      </c>
      <c r="C10" s="7">
        <f>SUM(C9:C9)*'Fane 15. Nøgletal'!C15</f>
        <v>1891607.5016063089</v>
      </c>
      <c r="D10" s="8" t="s">
        <v>3</v>
      </c>
      <c r="E10" s="1"/>
    </row>
    <row r="11" spans="1:5" ht="15" customHeight="1" x14ac:dyDescent="0.25">
      <c r="A11" s="1"/>
      <c r="B11" s="24" t="s">
        <v>10</v>
      </c>
      <c r="C11" s="9">
        <f>-SUM(C9:C10)*'Fane 5. Individuelt eff. krav'!G9</f>
        <v>-1100532.9936311762</v>
      </c>
      <c r="D11" s="8" t="s">
        <v>3</v>
      </c>
      <c r="E11" s="1"/>
    </row>
    <row r="12" spans="1:5" ht="15" customHeight="1" x14ac:dyDescent="0.25">
      <c r="A12" s="1"/>
      <c r="B12" s="24" t="s">
        <v>24</v>
      </c>
      <c r="C12" s="9">
        <f>-'Fane 4.1. Gen. krav - drift'!G63</f>
        <v>-602590.9565165469</v>
      </c>
      <c r="D12" s="8" t="s">
        <v>3</v>
      </c>
      <c r="E12" s="1"/>
    </row>
    <row r="13" spans="1:5" ht="15" customHeight="1" x14ac:dyDescent="0.25">
      <c r="A13" s="1"/>
      <c r="B13" s="24" t="s">
        <v>25</v>
      </c>
      <c r="C13" s="9">
        <f>-'Fane 4.2. Gen. krav - anlæg'!G64</f>
        <v>0</v>
      </c>
      <c r="D13" s="8" t="s">
        <v>3</v>
      </c>
      <c r="E13" s="1"/>
    </row>
    <row r="14" spans="1:5" ht="14.25" customHeight="1" x14ac:dyDescent="0.25">
      <c r="A14" s="1"/>
      <c r="B14" s="25" t="s">
        <v>21</v>
      </c>
      <c r="C14" s="10">
        <f>SUM(C9:C13)</f>
        <v>53323525.731411077</v>
      </c>
      <c r="D14" s="11" t="s">
        <v>3</v>
      </c>
      <c r="E14" s="1"/>
    </row>
    <row r="15" spans="1:5" x14ac:dyDescent="0.25">
      <c r="A15" s="1"/>
      <c r="B15" s="31" t="s">
        <v>12</v>
      </c>
      <c r="C15" s="26"/>
      <c r="D15" s="18"/>
      <c r="E15" s="1"/>
    </row>
    <row r="16" spans="1:5" ht="15" customHeight="1" x14ac:dyDescent="0.25">
      <c r="A16" s="1"/>
      <c r="B16" s="29" t="s">
        <v>12</v>
      </c>
      <c r="C16" s="10">
        <f>'Fane 6. Ikke-påvirkelige omk.'!C16*(1+'Fane 15. Nøgletal'!C15)^3+'Fane 6. Ikke-påvirkelige omk.'!C23+'Fane 6. Ikke-påvirkelige omk.'!C31</f>
        <v>10096828.339807512</v>
      </c>
      <c r="D16" s="11" t="s">
        <v>3</v>
      </c>
      <c r="E16" s="1"/>
    </row>
    <row r="17" spans="1:5" ht="15" customHeight="1" x14ac:dyDescent="0.25">
      <c r="A17" s="1"/>
      <c r="B17" s="31" t="s">
        <v>86</v>
      </c>
      <c r="C17" s="26"/>
      <c r="D17" s="18"/>
      <c r="E17" s="1"/>
    </row>
    <row r="18" spans="1:5" ht="15" customHeight="1" x14ac:dyDescent="0.25">
      <c r="A18" s="1"/>
      <c r="B18" s="85" t="s">
        <v>86</v>
      </c>
      <c r="C18" s="10">
        <f>'Fane 12. Periodevise driftsomk.'!E31</f>
        <v>0</v>
      </c>
      <c r="D18" s="11" t="s">
        <v>3</v>
      </c>
      <c r="E18" s="1"/>
    </row>
    <row r="19" spans="1:5" ht="15" customHeight="1" x14ac:dyDescent="0.25">
      <c r="A19" s="1"/>
      <c r="B19" s="31" t="s">
        <v>143</v>
      </c>
      <c r="C19" s="26"/>
      <c r="D19" s="18"/>
      <c r="E19" s="1"/>
    </row>
    <row r="20" spans="1:5" ht="15" customHeight="1" x14ac:dyDescent="0.25">
      <c r="A20" s="1"/>
      <c r="B20" s="29" t="s">
        <v>180</v>
      </c>
      <c r="C20" s="10">
        <f>'Fane 7. Kontrol af ØR2021'!E34</f>
        <v>0</v>
      </c>
      <c r="D20" s="11" t="s">
        <v>3</v>
      </c>
      <c r="E20" s="1"/>
    </row>
    <row r="21" spans="1:5" x14ac:dyDescent="0.25">
      <c r="A21" s="1"/>
      <c r="B21" s="28" t="s">
        <v>175</v>
      </c>
      <c r="C21" s="26"/>
      <c r="D21" s="18"/>
      <c r="E21" s="1"/>
    </row>
    <row r="22" spans="1:5" x14ac:dyDescent="0.25">
      <c r="A22" s="1"/>
      <c r="B22" s="91" t="s">
        <v>176</v>
      </c>
      <c r="C22" s="10">
        <f>'Fane 8. Skattesagen'!G15</f>
        <v>0</v>
      </c>
      <c r="D22" s="11" t="s">
        <v>3</v>
      </c>
      <c r="E22" s="1"/>
    </row>
    <row r="23" spans="1:5" x14ac:dyDescent="0.25">
      <c r="A23" s="1"/>
      <c r="B23" s="31" t="s">
        <v>190</v>
      </c>
      <c r="C23" s="12">
        <f>SUM(C14,C16,C18,C20,C22)</f>
        <v>63420354.071218587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FzxO/zaZbMzXLj9G30Vgkl5mgfDO+66if1DA1t8p8Cd/m3xF7bBDDR/LthBWuHXK0NLekhYzSYjdvdNaqZlryw==" saltValue="dcHke/06Pn8QvkYlUEAJH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1" t="s">
        <v>287</v>
      </c>
      <c r="C8" s="26"/>
      <c r="D8" s="26"/>
      <c r="E8" s="26"/>
      <c r="F8" s="18"/>
      <c r="G8" s="1"/>
    </row>
    <row r="9" spans="1:7" ht="15" customHeight="1" x14ac:dyDescent="0.25">
      <c r="A9" s="1"/>
      <c r="B9" s="121" t="s">
        <v>192</v>
      </c>
      <c r="C9" s="122"/>
      <c r="D9" s="123"/>
      <c r="E9" s="7">
        <v>56395422.657958619</v>
      </c>
      <c r="F9" s="8" t="s">
        <v>3</v>
      </c>
      <c r="G9" s="1"/>
    </row>
    <row r="10" spans="1:7" ht="15" customHeight="1" x14ac:dyDescent="0.25">
      <c r="A10" s="1"/>
      <c r="B10" s="125" t="s">
        <v>39</v>
      </c>
      <c r="C10" s="126"/>
      <c r="D10" s="127"/>
      <c r="E10" s="7">
        <v>67189.997700000007</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186326.62176367344</v>
      </c>
      <c r="F16" s="8" t="s">
        <v>3</v>
      </c>
      <c r="G16" s="1"/>
    </row>
    <row r="17" spans="1:7" ht="15" customHeight="1" x14ac:dyDescent="0.25">
      <c r="A17" s="1"/>
      <c r="B17" s="121" t="s">
        <v>10</v>
      </c>
      <c r="C17" s="122"/>
      <c r="D17" s="123"/>
      <c r="E17" s="9">
        <v>-1132978.785548446</v>
      </c>
      <c r="F17" s="8" t="s">
        <v>3</v>
      </c>
      <c r="G17" s="1"/>
    </row>
    <row r="18" spans="1:7" ht="15" customHeight="1" x14ac:dyDescent="0.25">
      <c r="A18" s="1"/>
      <c r="B18" s="121" t="s">
        <v>24</v>
      </c>
      <c r="C18" s="122"/>
      <c r="D18" s="123"/>
      <c r="E18" s="9">
        <f>-'Fane 4.1. Gen. krav - drift'!G39</f>
        <v>-583331.76023905072</v>
      </c>
      <c r="F18" s="8" t="s">
        <v>3</v>
      </c>
      <c r="G18" s="1"/>
    </row>
    <row r="19" spans="1:7" ht="15" customHeight="1" x14ac:dyDescent="0.25">
      <c r="A19" s="1"/>
      <c r="B19" s="121" t="s">
        <v>25</v>
      </c>
      <c r="C19" s="122"/>
      <c r="D19" s="123"/>
      <c r="E19" s="9">
        <f>-'Fane 4.2. Gen. krav - anlæg'!G37</f>
        <v>-424593.93223040423</v>
      </c>
      <c r="F19" s="8" t="s">
        <v>3</v>
      </c>
      <c r="G19" s="1"/>
    </row>
    <row r="20" spans="1:7" ht="15" customHeight="1" x14ac:dyDescent="0.25">
      <c r="A20" s="1"/>
      <c r="B20" s="52" t="s">
        <v>21</v>
      </c>
      <c r="C20" s="95"/>
      <c r="D20" s="97"/>
      <c r="E20" s="50">
        <f>SUM(E9:E19)</f>
        <v>54508034.79940439</v>
      </c>
      <c r="F20" s="51" t="s">
        <v>3</v>
      </c>
      <c r="G20" s="1"/>
    </row>
    <row r="21" spans="1:7" ht="15" customHeight="1" x14ac:dyDescent="0.25">
      <c r="A21" s="1"/>
      <c r="B21" s="31" t="s">
        <v>12</v>
      </c>
      <c r="C21" s="26"/>
      <c r="D21" s="26"/>
      <c r="E21" s="26"/>
      <c r="F21" s="18"/>
      <c r="G21" s="1"/>
    </row>
    <row r="22" spans="1:7" ht="15" customHeight="1" x14ac:dyDescent="0.25">
      <c r="A22" s="1"/>
      <c r="B22" s="128" t="s">
        <v>12</v>
      </c>
      <c r="C22" s="129"/>
      <c r="D22" s="130"/>
      <c r="E22" s="10">
        <v>4233794.3306202106</v>
      </c>
      <c r="F22" s="11" t="s">
        <v>3</v>
      </c>
      <c r="G22" s="1"/>
    </row>
    <row r="23" spans="1:7" ht="15" customHeight="1" x14ac:dyDescent="0.25">
      <c r="A23" s="1"/>
      <c r="B23" s="131" t="s">
        <v>86</v>
      </c>
      <c r="C23" s="132"/>
      <c r="D23" s="133"/>
      <c r="E23" s="26"/>
      <c r="F23" s="18"/>
      <c r="G23" s="1"/>
    </row>
    <row r="24" spans="1:7" ht="15" customHeight="1" x14ac:dyDescent="0.25">
      <c r="A24" s="1"/>
      <c r="B24" s="94" t="s">
        <v>86</v>
      </c>
      <c r="C24" s="36"/>
      <c r="D24" s="37"/>
      <c r="E24" s="10">
        <v>0</v>
      </c>
      <c r="F24" s="11" t="s">
        <v>3</v>
      </c>
      <c r="G24" s="1"/>
    </row>
    <row r="25" spans="1:7" x14ac:dyDescent="0.25">
      <c r="A25" s="1"/>
      <c r="B25" s="31" t="s">
        <v>85</v>
      </c>
      <c r="C25" s="26"/>
      <c r="D25" s="26"/>
      <c r="E25" s="26"/>
      <c r="F25" s="18"/>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8">
        <v>0</v>
      </c>
      <c r="F28" s="11" t="s">
        <v>3</v>
      </c>
      <c r="G28" s="1"/>
    </row>
    <row r="29" spans="1:7" ht="15" customHeight="1" x14ac:dyDescent="0.25">
      <c r="A29" s="1"/>
      <c r="B29" s="31" t="s">
        <v>143</v>
      </c>
      <c r="C29" s="31"/>
      <c r="D29" s="31"/>
      <c r="E29" s="26"/>
      <c r="F29" s="18"/>
      <c r="G29" s="1"/>
    </row>
    <row r="30" spans="1:7" ht="15" customHeight="1" x14ac:dyDescent="0.25">
      <c r="A30" s="1"/>
      <c r="B30" s="128" t="s">
        <v>142</v>
      </c>
      <c r="C30" s="129"/>
      <c r="D30" s="129"/>
      <c r="E30" s="38">
        <v>-2481610.9862077981</v>
      </c>
      <c r="F30" s="11" t="s">
        <v>3</v>
      </c>
      <c r="G30" s="1"/>
    </row>
    <row r="31" spans="1:7" x14ac:dyDescent="0.25">
      <c r="A31" s="1"/>
      <c r="B31" s="31" t="s">
        <v>123</v>
      </c>
      <c r="C31" s="26"/>
      <c r="D31" s="26"/>
      <c r="E31" s="26"/>
      <c r="F31" s="18"/>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6" t="s">
        <v>176</v>
      </c>
      <c r="C34" s="10"/>
      <c r="D34" s="11"/>
      <c r="E34" s="10">
        <f>'Fane 8. Skattesagen'!G11</f>
        <v>0</v>
      </c>
      <c r="F34" s="11" t="s">
        <v>3</v>
      </c>
      <c r="G34" s="1"/>
    </row>
    <row r="35" spans="1:7" x14ac:dyDescent="0.25">
      <c r="A35" s="1"/>
      <c r="B35" s="31" t="s">
        <v>218</v>
      </c>
      <c r="C35" s="26"/>
      <c r="D35" s="18"/>
      <c r="E35" s="12">
        <f>SUM(E32,E30,E28,E24,E22,E20,E34)</f>
        <v>56260218.143816799</v>
      </c>
      <c r="F35" s="13"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K5LaQNnpFLKJOKfUavCrFDQKX+UDOfIdYlGP6JKBG05GG5u4L8MDnfrKyhuqJ8jgnU3agFC3eJJdhk4a3uzqLg==" saltValue="wh/3hHem+3xFHfCT65Fqbw=="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1.85546875" style="2" customWidth="1"/>
    <col min="2" max="5" width="9.140625" style="2"/>
    <col min="6" max="6" width="23.140625" style="2" customWidth="1"/>
    <col min="7" max="7" width="16.28515625" style="2" customWidth="1"/>
    <col min="8" max="8" width="3.42578125" style="2" customWidth="1"/>
    <col min="9" max="9" width="2.28515625" style="2" customWidth="1"/>
    <col min="10" max="16384" width="9.140625" style="2"/>
  </cols>
  <sheetData>
    <row r="1" spans="1:9" ht="15" customHeight="1" x14ac:dyDescent="0.25">
      <c r="A1" s="1"/>
      <c r="B1" s="35"/>
      <c r="C1" s="35"/>
      <c r="D1" s="35"/>
      <c r="E1" s="35"/>
      <c r="F1" s="35"/>
      <c r="G1" s="35"/>
      <c r="H1" s="35"/>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2">
        <v>28686602.633601896</v>
      </c>
      <c r="H5" s="14" t="s">
        <v>3</v>
      </c>
      <c r="I5" s="1"/>
    </row>
    <row r="6" spans="1:9" x14ac:dyDescent="0.25">
      <c r="A6" s="1"/>
      <c r="B6" s="121" t="s">
        <v>120</v>
      </c>
      <c r="C6" s="122"/>
      <c r="D6" s="122"/>
      <c r="E6" s="122"/>
      <c r="F6" s="123"/>
      <c r="G6" s="73">
        <v>0</v>
      </c>
      <c r="H6" s="14" t="s">
        <v>3</v>
      </c>
      <c r="I6" s="1"/>
    </row>
    <row r="7" spans="1:9" x14ac:dyDescent="0.25">
      <c r="A7" s="1"/>
      <c r="B7" s="136" t="s">
        <v>42</v>
      </c>
      <c r="C7" s="137"/>
      <c r="D7" s="137"/>
      <c r="E7" s="137"/>
      <c r="F7" s="138"/>
      <c r="G7" s="72">
        <f>SUM(G5:G6)*'Fane 15. Nøgletal'!C31</f>
        <v>573732.05267203797</v>
      </c>
      <c r="H7" s="14" t="s">
        <v>3</v>
      </c>
      <c r="I7" s="1"/>
    </row>
    <row r="8" spans="1:9" x14ac:dyDescent="0.25">
      <c r="A8" s="1"/>
      <c r="B8" s="31"/>
      <c r="C8" s="26"/>
      <c r="D8" s="26"/>
      <c r="E8" s="26"/>
      <c r="F8" s="26"/>
      <c r="G8" s="74"/>
      <c r="H8" s="18"/>
      <c r="I8" s="1"/>
    </row>
    <row r="9" spans="1:9" x14ac:dyDescent="0.25">
      <c r="A9" s="1"/>
      <c r="B9" s="1"/>
      <c r="C9" s="1"/>
      <c r="D9" s="1"/>
      <c r="E9" s="1"/>
      <c r="F9" s="1"/>
      <c r="G9" s="75"/>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2">
        <f>(G5-G7)*(1+'Fane 15. Nøgletal'!C10)</f>
        <v>28604845.816096131</v>
      </c>
      <c r="H11" s="14" t="s">
        <v>3</v>
      </c>
      <c r="I11" s="1"/>
    </row>
    <row r="12" spans="1:9" ht="15" customHeight="1" x14ac:dyDescent="0.25">
      <c r="A12" s="1"/>
      <c r="B12" s="136" t="s">
        <v>121</v>
      </c>
      <c r="C12" s="137"/>
      <c r="D12" s="137"/>
      <c r="E12" s="137"/>
      <c r="F12" s="138"/>
      <c r="G12" s="73">
        <v>705327.62859925744</v>
      </c>
      <c r="H12" s="14" t="s">
        <v>3</v>
      </c>
      <c r="I12" s="1"/>
    </row>
    <row r="13" spans="1:9" x14ac:dyDescent="0.25">
      <c r="A13" s="1"/>
      <c r="B13" s="121" t="s">
        <v>118</v>
      </c>
      <c r="C13" s="122"/>
      <c r="D13" s="122"/>
      <c r="E13" s="122"/>
      <c r="F13" s="123"/>
      <c r="G13" s="73">
        <v>0</v>
      </c>
      <c r="H13" s="14" t="s">
        <v>3</v>
      </c>
      <c r="I13" s="1"/>
    </row>
    <row r="14" spans="1:9" x14ac:dyDescent="0.25">
      <c r="A14" s="1"/>
      <c r="B14" s="143" t="s">
        <v>44</v>
      </c>
      <c r="C14" s="144"/>
      <c r="D14" s="144"/>
      <c r="E14" s="144"/>
      <c r="F14" s="145"/>
      <c r="G14" s="73">
        <v>343892.50053125003</v>
      </c>
      <c r="H14" s="14" t="s">
        <v>3</v>
      </c>
      <c r="I14" s="1"/>
    </row>
    <row r="15" spans="1:9" x14ac:dyDescent="0.25">
      <c r="A15" s="1"/>
      <c r="B15" s="136" t="s">
        <v>45</v>
      </c>
      <c r="C15" s="137"/>
      <c r="D15" s="137"/>
      <c r="E15" s="137"/>
      <c r="F15" s="138"/>
      <c r="G15" s="72">
        <f>SUM(G11:G14)*'Fane 15. Nøgletal'!C31</f>
        <v>593081.3189045327</v>
      </c>
      <c r="H15" s="14" t="s">
        <v>3</v>
      </c>
      <c r="I15" s="1"/>
    </row>
    <row r="16" spans="1:9" x14ac:dyDescent="0.25">
      <c r="A16" s="1"/>
      <c r="B16" s="31"/>
      <c r="C16" s="26"/>
      <c r="D16" s="26"/>
      <c r="E16" s="26"/>
      <c r="F16" s="26"/>
      <c r="G16" s="74"/>
      <c r="H16" s="18"/>
      <c r="I16" s="1"/>
    </row>
    <row r="17" spans="1:9" x14ac:dyDescent="0.25">
      <c r="A17" s="1"/>
      <c r="B17" s="1"/>
      <c r="C17" s="1"/>
      <c r="D17" s="1"/>
      <c r="E17" s="1"/>
      <c r="F17" s="1"/>
      <c r="G17" s="75"/>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2">
        <f>(SUM(G11:G12,G14)-(G15))*(1+'Fane 15. Nøgletal'!C10)</f>
        <v>29569551.857282739</v>
      </c>
      <c r="H19" s="14" t="s">
        <v>3</v>
      </c>
      <c r="I19" s="1"/>
    </row>
    <row r="20" spans="1:9" x14ac:dyDescent="0.25">
      <c r="A20" s="1"/>
      <c r="B20" s="143" t="s">
        <v>47</v>
      </c>
      <c r="C20" s="144"/>
      <c r="D20" s="144"/>
      <c r="E20" s="144"/>
      <c r="F20" s="145"/>
      <c r="G20" s="73">
        <v>0</v>
      </c>
      <c r="H20" s="14" t="s">
        <v>3</v>
      </c>
      <c r="I20" s="1"/>
    </row>
    <row r="21" spans="1:9" x14ac:dyDescent="0.25">
      <c r="A21" s="1"/>
      <c r="B21" s="136" t="s">
        <v>48</v>
      </c>
      <c r="C21" s="137"/>
      <c r="D21" s="137"/>
      <c r="E21" s="137"/>
      <c r="F21" s="138"/>
      <c r="G21" s="72">
        <f>SUM(G19:G20)*'Fane 15. Nøgletal'!C31</f>
        <v>591391.03714565479</v>
      </c>
      <c r="H21" s="14" t="s">
        <v>3</v>
      </c>
      <c r="I21" s="1"/>
    </row>
    <row r="22" spans="1:9" x14ac:dyDescent="0.25">
      <c r="A22" s="1"/>
      <c r="B22" s="31"/>
      <c r="C22" s="26"/>
      <c r="D22" s="26"/>
      <c r="E22" s="26"/>
      <c r="F22" s="26"/>
      <c r="G22" s="74"/>
      <c r="H22" s="18"/>
      <c r="I22" s="1"/>
    </row>
    <row r="23" spans="1:9" x14ac:dyDescent="0.25">
      <c r="A23" s="1"/>
      <c r="B23" s="1"/>
      <c r="C23" s="1"/>
      <c r="D23" s="1"/>
      <c r="E23" s="1"/>
      <c r="F23" s="1"/>
      <c r="G23" s="75"/>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2">
        <f>(G19+G20-G21)*(1+'Fane 15. Nøgletal'!C12)</f>
        <v>29549030.588293787</v>
      </c>
      <c r="H25" s="14" t="s">
        <v>3</v>
      </c>
      <c r="I25" s="1"/>
    </row>
    <row r="26" spans="1:9" x14ac:dyDescent="0.25">
      <c r="A26" s="1"/>
      <c r="B26" s="143" t="s">
        <v>50</v>
      </c>
      <c r="C26" s="144"/>
      <c r="D26" s="144"/>
      <c r="E26" s="144"/>
      <c r="F26" s="145"/>
      <c r="G26" s="73">
        <v>0</v>
      </c>
      <c r="H26" s="14" t="s">
        <v>3</v>
      </c>
      <c r="I26" s="1"/>
    </row>
    <row r="27" spans="1:9" x14ac:dyDescent="0.25">
      <c r="A27" s="1"/>
      <c r="B27" s="136" t="s">
        <v>51</v>
      </c>
      <c r="C27" s="137"/>
      <c r="D27" s="137"/>
      <c r="E27" s="137"/>
      <c r="F27" s="138"/>
      <c r="G27" s="72">
        <f>(G25+G26)*'Fane 15. Nøgletal'!C31</f>
        <v>590980.61176587571</v>
      </c>
      <c r="H27" s="14" t="s">
        <v>3</v>
      </c>
      <c r="I27" s="1"/>
    </row>
    <row r="28" spans="1:9" x14ac:dyDescent="0.25">
      <c r="A28" s="1"/>
      <c r="B28" s="31"/>
      <c r="C28" s="26"/>
      <c r="D28" s="26"/>
      <c r="E28" s="26"/>
      <c r="F28" s="26"/>
      <c r="G28" s="74"/>
      <c r="H28" s="18"/>
      <c r="I28" s="1"/>
    </row>
    <row r="29" spans="1:9" x14ac:dyDescent="0.25">
      <c r="A29" s="1"/>
      <c r="B29" s="1"/>
      <c r="C29" s="1"/>
      <c r="D29" s="1"/>
      <c r="E29" s="1"/>
      <c r="F29" s="1"/>
      <c r="G29" s="75"/>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2">
        <f>(G25+G26-G27)*(1+'Fane 15. Nøgletal'!C12)</f>
        <v>29528523.561065514</v>
      </c>
      <c r="H31" s="14" t="s">
        <v>3</v>
      </c>
      <c r="I31" s="1"/>
    </row>
    <row r="32" spans="1:9" x14ac:dyDescent="0.25">
      <c r="A32" s="1"/>
      <c r="B32" s="136" t="s">
        <v>137</v>
      </c>
      <c r="C32" s="137"/>
      <c r="D32" s="137"/>
      <c r="E32" s="137"/>
      <c r="F32" s="138"/>
      <c r="G32" s="72">
        <v>66848.738163479997</v>
      </c>
      <c r="H32" s="14" t="s">
        <v>3</v>
      </c>
      <c r="I32" s="1"/>
    </row>
    <row r="33" spans="1:9" x14ac:dyDescent="0.25">
      <c r="A33" s="1"/>
      <c r="B33" s="136" t="s">
        <v>60</v>
      </c>
      <c r="C33" s="137"/>
      <c r="D33" s="137"/>
      <c r="E33" s="137"/>
      <c r="F33" s="138"/>
      <c r="G33" s="72">
        <f>(G31+G32)*'Fane 15. Nøgletal'!C31</f>
        <v>591907.44598457986</v>
      </c>
      <c r="H33" s="14" t="s">
        <v>3</v>
      </c>
      <c r="I33" s="1"/>
    </row>
    <row r="34" spans="1:9" x14ac:dyDescent="0.25">
      <c r="A34" s="1"/>
      <c r="B34" s="31"/>
      <c r="C34" s="26"/>
      <c r="D34" s="26"/>
      <c r="E34" s="26"/>
      <c r="F34" s="26"/>
      <c r="G34" s="74"/>
      <c r="H34" s="18"/>
      <c r="I34" s="1"/>
    </row>
    <row r="35" spans="1:9" x14ac:dyDescent="0.25">
      <c r="A35" s="1"/>
      <c r="B35" s="1"/>
      <c r="C35" s="1"/>
      <c r="D35" s="1"/>
      <c r="E35" s="1"/>
      <c r="F35" s="1"/>
      <c r="G35" s="75"/>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2">
        <f>(G31+G32-G33)*(1+'Fane 15. Nøgletal'!C14)</f>
        <v>29099176.287260123</v>
      </c>
      <c r="H37" s="14" t="s">
        <v>3</v>
      </c>
      <c r="I37" s="1"/>
    </row>
    <row r="38" spans="1:9" x14ac:dyDescent="0.25">
      <c r="A38" s="1"/>
      <c r="B38" s="136" t="s">
        <v>164</v>
      </c>
      <c r="C38" s="137"/>
      <c r="D38" s="137"/>
      <c r="E38" s="137"/>
      <c r="F38" s="138"/>
      <c r="G38" s="72">
        <v>67411.724692410018</v>
      </c>
      <c r="H38" s="14" t="s">
        <v>3</v>
      </c>
      <c r="I38" s="1"/>
    </row>
    <row r="39" spans="1:9" x14ac:dyDescent="0.25">
      <c r="A39" s="1"/>
      <c r="B39" s="136" t="s">
        <v>162</v>
      </c>
      <c r="C39" s="137"/>
      <c r="D39" s="137"/>
      <c r="E39" s="137"/>
      <c r="F39" s="138"/>
      <c r="G39" s="72">
        <f>(G37+G38)*'Fane 15. Nøgletal'!C31</f>
        <v>583331.76023905072</v>
      </c>
      <c r="H39" s="14" t="s">
        <v>3</v>
      </c>
      <c r="I39" s="1"/>
    </row>
    <row r="40" spans="1:9" x14ac:dyDescent="0.25">
      <c r="A40" s="1"/>
      <c r="B40" s="31"/>
      <c r="C40" s="26"/>
      <c r="D40" s="26"/>
      <c r="E40" s="26"/>
      <c r="F40" s="26"/>
      <c r="G40" s="74"/>
      <c r="H40" s="18"/>
      <c r="I40" s="1"/>
    </row>
    <row r="41" spans="1:9" x14ac:dyDescent="0.25">
      <c r="A41" s="1"/>
      <c r="B41" s="1"/>
      <c r="C41" s="1"/>
      <c r="D41" s="1"/>
      <c r="E41" s="1"/>
      <c r="F41" s="1"/>
      <c r="G41" s="75"/>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2">
        <f>(G37+G38-G39)*(1+'Fane 15. Nøgletal'!C14)</f>
        <v>28677580.99734414</v>
      </c>
      <c r="H43" s="14" t="s">
        <v>3</v>
      </c>
      <c r="I43" s="1"/>
    </row>
    <row r="44" spans="1:9" x14ac:dyDescent="0.25">
      <c r="A44" s="1"/>
      <c r="B44" s="140" t="s">
        <v>230</v>
      </c>
      <c r="C44" s="141"/>
      <c r="D44" s="141"/>
      <c r="E44" s="141"/>
      <c r="F44" s="142"/>
      <c r="G44" s="76">
        <f>('Fane 2.1. Økonomisk ramme 2023'!C10+'Fane 2.1. Økonomisk ramme 2023'!C12+'Fane 2.1. Økonomisk ramme 2023'!C14)*(1+'Fane 15. Nøgletal'!C15)</f>
        <v>145357.93610496001</v>
      </c>
      <c r="H44" s="14" t="s">
        <v>3</v>
      </c>
      <c r="I44" s="1"/>
    </row>
    <row r="45" spans="1:9" x14ac:dyDescent="0.25">
      <c r="A45" s="1"/>
      <c r="B45" s="136" t="s">
        <v>163</v>
      </c>
      <c r="C45" s="137"/>
      <c r="D45" s="137"/>
      <c r="E45" s="137"/>
      <c r="F45" s="138"/>
      <c r="G45" s="72">
        <f>SUM(G43:G44)*'Fane 15. Nøgletal'!C31</f>
        <v>576458.77866898198</v>
      </c>
      <c r="H45" s="14" t="s">
        <v>3</v>
      </c>
      <c r="I45" s="1"/>
    </row>
    <row r="46" spans="1:9" x14ac:dyDescent="0.25">
      <c r="A46" s="1"/>
      <c r="B46" s="31"/>
      <c r="C46" s="26"/>
      <c r="D46" s="26"/>
      <c r="E46" s="26"/>
      <c r="F46" s="26"/>
      <c r="G46" s="74"/>
      <c r="H46" s="18"/>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2">
        <f>(G43+G44-G45)*(1+'Fane 15. Nøgletal'!C15)</f>
        <v>29252054.848290294</v>
      </c>
      <c r="H52" s="14" t="s">
        <v>3</v>
      </c>
      <c r="I52" s="1"/>
    </row>
    <row r="53" spans="1:9" x14ac:dyDescent="0.25">
      <c r="A53" s="1"/>
      <c r="B53" s="136" t="s">
        <v>138</v>
      </c>
      <c r="C53" s="137"/>
      <c r="D53" s="137"/>
      <c r="E53" s="137"/>
      <c r="F53" s="138"/>
      <c r="G53" s="72">
        <f>(G52)*'Fane 15. Nøgletal'!C31</f>
        <v>585041.09696580586</v>
      </c>
      <c r="H53" s="14" t="s">
        <v>3</v>
      </c>
      <c r="I53" s="1"/>
    </row>
    <row r="54" spans="1:9" x14ac:dyDescent="0.25">
      <c r="A54" s="1"/>
      <c r="B54" s="31"/>
      <c r="C54" s="26"/>
      <c r="D54" s="26"/>
      <c r="E54" s="26"/>
      <c r="F54" s="26"/>
      <c r="G54" s="74"/>
      <c r="H54" s="18"/>
      <c r="I54" s="1"/>
    </row>
    <row r="55" spans="1:9" x14ac:dyDescent="0.25">
      <c r="A55" s="1"/>
      <c r="B55" s="1"/>
      <c r="C55" s="1"/>
      <c r="D55" s="1"/>
      <c r="E55" s="1"/>
      <c r="F55" s="1"/>
      <c r="G55" s="75"/>
      <c r="H55" s="1"/>
      <c r="I55" s="1"/>
    </row>
    <row r="56" spans="1:9" x14ac:dyDescent="0.25">
      <c r="A56" s="1"/>
      <c r="B56" s="131" t="s">
        <v>150</v>
      </c>
      <c r="C56" s="132"/>
      <c r="D56" s="132"/>
      <c r="E56" s="132"/>
      <c r="F56" s="132"/>
      <c r="G56" s="139"/>
      <c r="H56" s="133"/>
      <c r="I56" s="1"/>
    </row>
    <row r="57" spans="1:9" x14ac:dyDescent="0.25">
      <c r="A57" s="1"/>
      <c r="B57" s="87" t="s">
        <v>151</v>
      </c>
      <c r="C57" s="88"/>
      <c r="D57" s="88"/>
      <c r="E57" s="88"/>
      <c r="F57" s="89"/>
      <c r="G57" s="72">
        <f>(G52-G53)*(1+'Fane 15. Nøgletal'!C15)</f>
        <v>29687559.440871645</v>
      </c>
      <c r="H57" s="14" t="s">
        <v>3</v>
      </c>
      <c r="I57" s="1"/>
    </row>
    <row r="58" spans="1:9" x14ac:dyDescent="0.25">
      <c r="A58" s="1"/>
      <c r="B58" s="87" t="s">
        <v>152</v>
      </c>
      <c r="C58" s="88"/>
      <c r="D58" s="88"/>
      <c r="E58" s="88"/>
      <c r="F58" s="89"/>
      <c r="G58" s="72">
        <f>(G57)*'Fane 15. Nøgletal'!C31</f>
        <v>593751.18881743297</v>
      </c>
      <c r="H58" s="14" t="s">
        <v>3</v>
      </c>
      <c r="I58" s="1"/>
    </row>
    <row r="59" spans="1:9" x14ac:dyDescent="0.25">
      <c r="A59" s="1"/>
      <c r="B59" s="31"/>
      <c r="C59" s="26"/>
      <c r="D59" s="26"/>
      <c r="E59" s="26"/>
      <c r="F59" s="26"/>
      <c r="G59" s="74"/>
      <c r="H59" s="18"/>
      <c r="I59" s="1"/>
    </row>
    <row r="60" spans="1:9" x14ac:dyDescent="0.25">
      <c r="A60" s="1"/>
      <c r="B60" s="1"/>
      <c r="C60" s="1"/>
      <c r="D60" s="1"/>
      <c r="E60" s="1"/>
      <c r="F60" s="1"/>
      <c r="G60" s="75"/>
      <c r="H60" s="1"/>
      <c r="I60" s="1"/>
    </row>
    <row r="61" spans="1:9" x14ac:dyDescent="0.25">
      <c r="A61" s="1"/>
      <c r="B61" s="131" t="s">
        <v>193</v>
      </c>
      <c r="C61" s="132"/>
      <c r="D61" s="132"/>
      <c r="E61" s="132"/>
      <c r="F61" s="132"/>
      <c r="G61" s="139"/>
      <c r="H61" s="133"/>
      <c r="I61" s="1"/>
    </row>
    <row r="62" spans="1:9" x14ac:dyDescent="0.25">
      <c r="A62" s="1"/>
      <c r="B62" s="87" t="s">
        <v>194</v>
      </c>
      <c r="C62" s="88"/>
      <c r="D62" s="88"/>
      <c r="E62" s="88"/>
      <c r="F62" s="89"/>
      <c r="G62" s="72">
        <f>(G57-G58)*(1+'Fane 15. Nøgletal'!C15)</f>
        <v>30129547.825827342</v>
      </c>
      <c r="H62" s="14" t="s">
        <v>3</v>
      </c>
      <c r="I62" s="1"/>
    </row>
    <row r="63" spans="1:9" x14ac:dyDescent="0.25">
      <c r="A63" s="1"/>
      <c r="B63" s="87" t="s">
        <v>195</v>
      </c>
      <c r="C63" s="88"/>
      <c r="D63" s="88"/>
      <c r="E63" s="88"/>
      <c r="F63" s="89"/>
      <c r="G63" s="72">
        <f>(G62)*'Fane 15. Nøgletal'!C31</f>
        <v>602590.9565165469</v>
      </c>
      <c r="H63" s="14" t="s">
        <v>3</v>
      </c>
      <c r="I63" s="1"/>
    </row>
    <row r="64" spans="1:9" x14ac:dyDescent="0.25">
      <c r="A64" s="1"/>
      <c r="B64" s="31"/>
      <c r="C64" s="26"/>
      <c r="D64" s="26"/>
      <c r="E64" s="26"/>
      <c r="F64" s="26"/>
      <c r="G64" s="26"/>
      <c r="H64" s="18"/>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9FB40MVjFeflfWmMBwEmP/M5fLIPwZdPgzD5zZwzrEHaukCGt9kEpg8aklNgw+uxPLyvfs8rri0X/pCRquLPbQ==" saltValue="j2RzFyWaX5oOnlaJ1ywGQ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85546875" style="2" customWidth="1"/>
    <col min="2" max="5" width="9.140625" style="2"/>
    <col min="6" max="6" width="27" style="2" customWidth="1"/>
    <col min="7" max="7" width="14.140625" style="2" customWidth="1"/>
    <col min="8" max="8" width="3.28515625" style="2" customWidth="1"/>
    <col min="9" max="9" width="1.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2">
        <v>26599895.532645136</v>
      </c>
      <c r="H5" s="14" t="s">
        <v>3</v>
      </c>
      <c r="I5" s="1"/>
    </row>
    <row r="6" spans="1:9" x14ac:dyDescent="0.25">
      <c r="A6" s="1"/>
      <c r="B6" s="136" t="s">
        <v>57</v>
      </c>
      <c r="C6" s="137"/>
      <c r="D6" s="137"/>
      <c r="E6" s="137"/>
      <c r="F6" s="138"/>
      <c r="G6" s="72">
        <f>G5*'Fane 15. Nøgletal'!C20</f>
        <v>242059.04934707074</v>
      </c>
      <c r="H6" s="14" t="s">
        <v>3</v>
      </c>
      <c r="I6" s="1"/>
    </row>
    <row r="7" spans="1:9" x14ac:dyDescent="0.25">
      <c r="A7" s="1"/>
      <c r="B7" s="31"/>
      <c r="C7" s="26"/>
      <c r="D7" s="26"/>
      <c r="E7" s="26"/>
      <c r="F7" s="26"/>
      <c r="G7" s="74"/>
      <c r="H7" s="18"/>
      <c r="I7" s="1"/>
    </row>
    <row r="8" spans="1:9" x14ac:dyDescent="0.25">
      <c r="A8" s="1"/>
      <c r="B8" s="1"/>
      <c r="C8" s="1"/>
      <c r="D8" s="1"/>
      <c r="E8" s="1"/>
      <c r="F8" s="1"/>
      <c r="G8" s="75"/>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2">
        <f>(G5-G6)*(1+'Fane 15. Nøgletal'!C10)</f>
        <v>26819098.621755786</v>
      </c>
      <c r="H10" s="14" t="s">
        <v>3</v>
      </c>
      <c r="I10" s="1"/>
    </row>
    <row r="11" spans="1:9" x14ac:dyDescent="0.25">
      <c r="A11" s="1"/>
      <c r="B11" s="136" t="s">
        <v>122</v>
      </c>
      <c r="C11" s="137"/>
      <c r="D11" s="137"/>
      <c r="E11" s="137"/>
      <c r="F11" s="138"/>
      <c r="G11" s="72">
        <v>580516.65650264849</v>
      </c>
      <c r="H11" s="14" t="s">
        <v>3</v>
      </c>
      <c r="I11" s="1"/>
    </row>
    <row r="12" spans="1:9" x14ac:dyDescent="0.25">
      <c r="A12" s="1"/>
      <c r="B12" s="143" t="s">
        <v>64</v>
      </c>
      <c r="C12" s="144"/>
      <c r="D12" s="144"/>
      <c r="E12" s="144"/>
      <c r="F12" s="145"/>
      <c r="G12" s="73">
        <v>0</v>
      </c>
      <c r="H12" s="14" t="s">
        <v>3</v>
      </c>
      <c r="I12" s="1"/>
    </row>
    <row r="13" spans="1:9" x14ac:dyDescent="0.25">
      <c r="A13" s="1"/>
      <c r="B13" s="136" t="s">
        <v>65</v>
      </c>
      <c r="C13" s="137"/>
      <c r="D13" s="137"/>
      <c r="E13" s="137"/>
      <c r="F13" s="138"/>
      <c r="G13" s="72">
        <f>SUM(G10:G12)*'Fane 15. Nøgletal'!C21</f>
        <v>484973.19042517431</v>
      </c>
      <c r="H13" s="14" t="s">
        <v>3</v>
      </c>
      <c r="I13" s="1"/>
    </row>
    <row r="14" spans="1:9" x14ac:dyDescent="0.25">
      <c r="A14" s="1"/>
      <c r="B14" s="31"/>
      <c r="C14" s="26"/>
      <c r="D14" s="26"/>
      <c r="E14" s="26"/>
      <c r="F14" s="26"/>
      <c r="G14" s="74"/>
      <c r="H14" s="18"/>
      <c r="I14" s="1"/>
    </row>
    <row r="15" spans="1:9" x14ac:dyDescent="0.25">
      <c r="A15" s="1"/>
      <c r="B15" s="1"/>
      <c r="C15" s="1"/>
      <c r="D15" s="1"/>
      <c r="E15" s="1"/>
      <c r="F15" s="1"/>
      <c r="G15" s="75"/>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2">
        <f>(SUM(G10:G12)-G13)*(1+'Fane 15. Nøgletal'!C10)</f>
        <v>27385648.324370347</v>
      </c>
      <c r="H17" s="14" t="s">
        <v>3</v>
      </c>
      <c r="I17" s="1"/>
    </row>
    <row r="18" spans="1:9" x14ac:dyDescent="0.25">
      <c r="A18" s="1"/>
      <c r="B18" s="143" t="s">
        <v>68</v>
      </c>
      <c r="C18" s="144"/>
      <c r="D18" s="144"/>
      <c r="E18" s="144"/>
      <c r="F18" s="145"/>
      <c r="G18" s="72">
        <v>0</v>
      </c>
      <c r="H18" s="14" t="s">
        <v>3</v>
      </c>
      <c r="I18" s="1"/>
    </row>
    <row r="19" spans="1:9" x14ac:dyDescent="0.25">
      <c r="A19" s="1"/>
      <c r="B19" s="136" t="s">
        <v>69</v>
      </c>
      <c r="C19" s="137"/>
      <c r="D19" s="137"/>
      <c r="E19" s="137"/>
      <c r="F19" s="138"/>
      <c r="G19" s="72">
        <f>G17*'Fane 15. Nøgletal'!C21+G18*'Fane 15. Nøgletal'!C22</f>
        <v>484725.97534135514</v>
      </c>
      <c r="H19" s="14" t="s">
        <v>3</v>
      </c>
      <c r="I19" s="1"/>
    </row>
    <row r="20" spans="1:9" x14ac:dyDescent="0.25">
      <c r="A20" s="1"/>
      <c r="B20" s="31"/>
      <c r="C20" s="26"/>
      <c r="D20" s="26"/>
      <c r="E20" s="26"/>
      <c r="F20" s="26"/>
      <c r="G20" s="74"/>
      <c r="H20" s="18"/>
      <c r="I20" s="1"/>
    </row>
    <row r="21" spans="1:9" x14ac:dyDescent="0.25">
      <c r="A21" s="1"/>
      <c r="B21" s="1"/>
      <c r="C21" s="1"/>
      <c r="D21" s="1"/>
      <c r="E21" s="1"/>
      <c r="F21" s="1"/>
      <c r="G21" s="75"/>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2">
        <f>(G17+G18-G19)*(1+'Fane 15. Nøgletal'!C12)</f>
        <v>27430870.519304864</v>
      </c>
      <c r="H23" s="14" t="s">
        <v>3</v>
      </c>
      <c r="I23" s="1"/>
    </row>
    <row r="24" spans="1:9" x14ac:dyDescent="0.25">
      <c r="A24" s="1"/>
      <c r="B24" s="143" t="s">
        <v>72</v>
      </c>
      <c r="C24" s="144"/>
      <c r="D24" s="144"/>
      <c r="E24" s="144"/>
      <c r="F24" s="145"/>
      <c r="G24" s="72">
        <v>2243346.137389021</v>
      </c>
      <c r="H24" s="14" t="s">
        <v>3</v>
      </c>
      <c r="I24" s="1"/>
    </row>
    <row r="25" spans="1:9" x14ac:dyDescent="0.25">
      <c r="A25" s="1"/>
      <c r="B25" s="136" t="s">
        <v>73</v>
      </c>
      <c r="C25" s="137"/>
      <c r="D25" s="137"/>
      <c r="E25" s="137"/>
      <c r="F25" s="138"/>
      <c r="G25" s="72">
        <f>(G23+G24)*'Fane 15. Nøgletal'!C23</f>
        <v>842747.75305010634</v>
      </c>
      <c r="H25" s="14" t="s">
        <v>3</v>
      </c>
      <c r="I25" s="1"/>
    </row>
    <row r="26" spans="1:9" x14ac:dyDescent="0.25">
      <c r="A26" s="1"/>
      <c r="B26" s="31"/>
      <c r="C26" s="26"/>
      <c r="D26" s="26"/>
      <c r="E26" s="26"/>
      <c r="F26" s="26"/>
      <c r="G26" s="74"/>
      <c r="H26" s="18"/>
      <c r="I26" s="1"/>
    </row>
    <row r="27" spans="1:9" x14ac:dyDescent="0.25">
      <c r="A27" s="1"/>
      <c r="B27" s="1"/>
      <c r="C27" s="1"/>
      <c r="D27" s="1"/>
      <c r="E27" s="1"/>
      <c r="F27" s="1"/>
      <c r="G27" s="75"/>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2">
        <f>(G23+G24-G25)*(1+'Fane 15. Nøgletal'!C12)</f>
        <v>29399448.841045558</v>
      </c>
      <c r="H29" s="14" t="s">
        <v>3</v>
      </c>
      <c r="I29" s="1"/>
    </row>
    <row r="30" spans="1:9" x14ac:dyDescent="0.25">
      <c r="A30" s="1"/>
      <c r="B30" s="136" t="s">
        <v>139</v>
      </c>
      <c r="C30" s="137"/>
      <c r="D30" s="137"/>
      <c r="E30" s="137"/>
      <c r="F30" s="138"/>
      <c r="G30" s="72">
        <v>30759.005274480001</v>
      </c>
      <c r="H30" s="14" t="s">
        <v>3</v>
      </c>
      <c r="I30" s="1"/>
    </row>
    <row r="31" spans="1:9" x14ac:dyDescent="0.25">
      <c r="A31" s="1"/>
      <c r="B31" s="136" t="s">
        <v>76</v>
      </c>
      <c r="C31" s="137"/>
      <c r="D31" s="137"/>
      <c r="E31" s="137"/>
      <c r="F31" s="138"/>
      <c r="G31" s="72">
        <f>G29*'Fane 15. Nøgletal'!C23+G30*'Fane 15. Nøgletal'!C24</f>
        <v>835790.21973074204</v>
      </c>
      <c r="H31" s="14" t="s">
        <v>3</v>
      </c>
      <c r="I31" s="1"/>
    </row>
    <row r="32" spans="1:9" x14ac:dyDescent="0.25">
      <c r="A32" s="1"/>
      <c r="B32" s="31"/>
      <c r="C32" s="26"/>
      <c r="D32" s="26"/>
      <c r="E32" s="26"/>
      <c r="F32" s="26"/>
      <c r="G32" s="74"/>
      <c r="H32" s="18"/>
      <c r="I32" s="1"/>
    </row>
    <row r="33" spans="1:9" x14ac:dyDescent="0.25">
      <c r="A33" s="1"/>
      <c r="B33" s="1"/>
      <c r="C33" s="1"/>
      <c r="D33" s="1"/>
      <c r="E33" s="1"/>
      <c r="F33" s="1"/>
      <c r="G33" s="75"/>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2">
        <f>(G29+G30-G31)*(1+'Fane 15. Nøgletal'!C14)</f>
        <v>28688779.204757042</v>
      </c>
      <c r="H35" s="14" t="s">
        <v>3</v>
      </c>
      <c r="I35" s="1"/>
    </row>
    <row r="36" spans="1:9" x14ac:dyDescent="0.25">
      <c r="A36" s="1"/>
      <c r="B36" s="136" t="s">
        <v>167</v>
      </c>
      <c r="C36" s="137"/>
      <c r="D36" s="137"/>
      <c r="E36" s="137"/>
      <c r="F36" s="138"/>
      <c r="G36" s="72">
        <v>0</v>
      </c>
      <c r="H36" s="14" t="s">
        <v>3</v>
      </c>
      <c r="I36" s="1"/>
    </row>
    <row r="37" spans="1:9" x14ac:dyDescent="0.25">
      <c r="A37" s="1"/>
      <c r="B37" s="136" t="s">
        <v>166</v>
      </c>
      <c r="C37" s="137"/>
      <c r="D37" s="137"/>
      <c r="E37" s="137"/>
      <c r="F37" s="138"/>
      <c r="G37" s="72">
        <f>(G35+G36)*'Fane 15. Nøgletal'!C25</f>
        <v>424593.93223040423</v>
      </c>
      <c r="H37" s="14" t="s">
        <v>3</v>
      </c>
      <c r="I37" s="1"/>
    </row>
    <row r="38" spans="1:9" x14ac:dyDescent="0.25">
      <c r="A38" s="1"/>
      <c r="B38" s="31"/>
      <c r="C38" s="26"/>
      <c r="D38" s="26"/>
      <c r="E38" s="26"/>
      <c r="F38" s="26"/>
      <c r="G38" s="74"/>
      <c r="H38" s="18"/>
      <c r="I38" s="1"/>
    </row>
    <row r="39" spans="1:9" x14ac:dyDescent="0.25">
      <c r="A39" s="1"/>
      <c r="B39" s="1"/>
      <c r="C39" s="1"/>
      <c r="D39" s="1"/>
      <c r="E39" s="1"/>
      <c r="F39" s="1"/>
      <c r="G39" s="75"/>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2">
        <f>(G35+G36-G37)*(1+'Fane 15. Nøgletal'!C14)</f>
        <v>28357457.083925977</v>
      </c>
      <c r="H41" s="14" t="s">
        <v>3</v>
      </c>
      <c r="I41" s="1"/>
    </row>
    <row r="42" spans="1:9" x14ac:dyDescent="0.25">
      <c r="A42" s="1"/>
      <c r="B42" s="42" t="s">
        <v>229</v>
      </c>
      <c r="C42" s="88"/>
      <c r="D42" s="88"/>
      <c r="E42" s="88"/>
      <c r="F42" s="89"/>
      <c r="G42" s="76">
        <f>('Fane 2.1. Økonomisk ramme 2023'!C11+'Fane 2.1. Økonomisk ramme 2023'!C13+'Fane 2.1. Økonomisk ramme 2023'!C15)*(1+'Fane 15. Nøgletal'!C15)</f>
        <v>0</v>
      </c>
      <c r="H42" s="14" t="s">
        <v>3</v>
      </c>
      <c r="I42" s="1"/>
    </row>
    <row r="43" spans="1:9" x14ac:dyDescent="0.25">
      <c r="A43" s="1"/>
      <c r="B43" s="136" t="s">
        <v>168</v>
      </c>
      <c r="C43" s="137"/>
      <c r="D43" s="137"/>
      <c r="E43" s="137"/>
      <c r="F43" s="138"/>
      <c r="G43" s="72">
        <f>(G41)*'Fane 15. Nøgletal'!C25+G42*'Fane 15. Nøgletal'!C26</f>
        <v>419690.36484210449</v>
      </c>
      <c r="H43" s="14" t="s">
        <v>3</v>
      </c>
      <c r="I43" s="1"/>
    </row>
    <row r="44" spans="1:9" x14ac:dyDescent="0.25">
      <c r="A44" s="1"/>
      <c r="B44" s="31"/>
      <c r="C44" s="26"/>
      <c r="D44" s="26"/>
      <c r="E44" s="26"/>
      <c r="F44" s="26"/>
      <c r="G44" s="74"/>
      <c r="H44" s="18"/>
      <c r="I44" s="1"/>
    </row>
    <row r="45" spans="1:9" x14ac:dyDescent="0.25">
      <c r="A45" s="1"/>
      <c r="B45" s="1"/>
      <c r="C45" s="1"/>
      <c r="D45" s="1"/>
      <c r="E45" s="1"/>
      <c r="F45" s="1"/>
      <c r="G45" s="75"/>
      <c r="H45" s="1"/>
      <c r="I45" s="1"/>
    </row>
    <row r="46" spans="1:9" x14ac:dyDescent="0.25">
      <c r="A46" s="1"/>
      <c r="B46" s="1"/>
      <c r="C46" s="1"/>
      <c r="D46" s="1"/>
      <c r="E46" s="1"/>
      <c r="F46" s="1"/>
      <c r="G46" s="75"/>
      <c r="H46" s="1"/>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
      <c r="C51" s="1"/>
      <c r="D51" s="1"/>
      <c r="E51" s="1"/>
      <c r="F51" s="1"/>
      <c r="G51" s="75"/>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2">
        <f>(G41+G42-G43)*(1+'Fane 15. Nøgletal'!C15)</f>
        <v>28932351.214283261</v>
      </c>
      <c r="H53" s="14" t="s">
        <v>3</v>
      </c>
      <c r="I53" s="1"/>
    </row>
    <row r="54" spans="1:9" x14ac:dyDescent="0.25">
      <c r="A54" s="1"/>
      <c r="B54" s="136" t="s">
        <v>141</v>
      </c>
      <c r="C54" s="137"/>
      <c r="D54" s="137"/>
      <c r="E54" s="137"/>
      <c r="F54" s="138"/>
      <c r="G54" s="72">
        <f>(G53)*'Fane 15. Nøgletal'!C26</f>
        <v>0</v>
      </c>
      <c r="H54" s="14" t="s">
        <v>3</v>
      </c>
      <c r="I54" s="1"/>
    </row>
    <row r="55" spans="1:9" x14ac:dyDescent="0.25">
      <c r="A55" s="1"/>
      <c r="B55" s="31"/>
      <c r="C55" s="26"/>
      <c r="D55" s="26"/>
      <c r="E55" s="26"/>
      <c r="F55" s="26"/>
      <c r="G55" s="74"/>
      <c r="H55" s="18"/>
      <c r="I55" s="1"/>
    </row>
    <row r="56" spans="1:9" x14ac:dyDescent="0.25">
      <c r="A56" s="1"/>
      <c r="B56" s="1"/>
      <c r="C56" s="1"/>
      <c r="D56" s="1"/>
      <c r="E56" s="1"/>
      <c r="F56" s="1"/>
      <c r="G56" s="75"/>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2">
        <f>(G53-G54)*(1+'Fane 15. Nøgletal'!C15)</f>
        <v>29962342.917511746</v>
      </c>
      <c r="H58" s="14" t="s">
        <v>3</v>
      </c>
      <c r="I58" s="1"/>
    </row>
    <row r="59" spans="1:9" x14ac:dyDescent="0.25">
      <c r="A59" s="1"/>
      <c r="B59" s="136" t="s">
        <v>174</v>
      </c>
      <c r="C59" s="137"/>
      <c r="D59" s="137"/>
      <c r="E59" s="137"/>
      <c r="F59" s="138"/>
      <c r="G59" s="72">
        <f>(G58)*'Fane 15. Nøgletal'!C26</f>
        <v>0</v>
      </c>
      <c r="H59" s="14" t="s">
        <v>3</v>
      </c>
      <c r="I59" s="1"/>
    </row>
    <row r="60" spans="1:9" x14ac:dyDescent="0.25">
      <c r="A60" s="1"/>
      <c r="B60" s="31"/>
      <c r="C60" s="26"/>
      <c r="D60" s="26"/>
      <c r="E60" s="26"/>
      <c r="F60" s="26"/>
      <c r="G60" s="74"/>
      <c r="H60" s="18"/>
      <c r="I60" s="1"/>
    </row>
    <row r="61" spans="1:9" x14ac:dyDescent="0.25">
      <c r="A61" s="1"/>
      <c r="B61" s="1"/>
      <c r="C61" s="1"/>
      <c r="D61" s="1"/>
      <c r="E61" s="1"/>
      <c r="F61" s="1"/>
      <c r="G61" s="75"/>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2">
        <f>(G58-G59)*(1+'Fane 15. Nøgletal'!C15)</f>
        <v>31029002.325375166</v>
      </c>
      <c r="H63" s="14" t="s">
        <v>3</v>
      </c>
      <c r="I63" s="1"/>
    </row>
    <row r="64" spans="1:9" x14ac:dyDescent="0.25">
      <c r="A64" s="1"/>
      <c r="B64" s="136" t="s">
        <v>198</v>
      </c>
      <c r="C64" s="137"/>
      <c r="D64" s="137"/>
      <c r="E64" s="137"/>
      <c r="F64" s="138"/>
      <c r="G64" s="72">
        <f>(G63)*'Fane 15. Nøgletal'!C26</f>
        <v>0</v>
      </c>
      <c r="H64" s="14" t="s">
        <v>3</v>
      </c>
      <c r="I64" s="1"/>
    </row>
    <row r="65" spans="1:9" x14ac:dyDescent="0.25">
      <c r="A65" s="1"/>
      <c r="B65" s="31"/>
      <c r="C65" s="26"/>
      <c r="D65" s="26"/>
      <c r="E65" s="26"/>
      <c r="F65" s="26"/>
      <c r="G65" s="26"/>
      <c r="H65" s="18"/>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jE4t31y+g3DYs5pH6AZhBQtGuDfkq0a7UuBujEdBcaG0z68LXlxkR4HVVACsfZsz6qVwF4LPCqhkv7HxvjD+cQ==" saltValue="8ncrRpL30zTc7AFuEIGPsQ=="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4">
        <v>0.02</v>
      </c>
      <c r="H9" s="1"/>
    </row>
    <row r="10" spans="1:8" x14ac:dyDescent="0.25">
      <c r="A10" s="1"/>
      <c r="B10" s="31"/>
      <c r="C10" s="26"/>
      <c r="D10" s="26"/>
      <c r="E10" s="26"/>
      <c r="F10" s="26"/>
      <c r="G10" s="18"/>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mrZzmW6+fSdytvp1b88FrHgwUR1krbfu/Xk6HFoFQt/jECI5Mvlm+dRhtM1XAtFMlWeZ1hocKh0o6a+OugchMA==" saltValue="aZuoW6UU+sV5oZUPEQbS/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2022-12-01T08:51:17Z</dcterms:modified>
</cp:coreProperties>
</file>