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codeName="Denne_projektmappe" defaultThemeVersion="124226"/>
  <mc:AlternateContent xmlns:mc="http://schemas.openxmlformats.org/markup-compatibility/2006">
    <mc:Choice Requires="x15">
      <x15ac:absPath xmlns:x15ac="http://schemas.microsoft.com/office/spreadsheetml/2010/11/ac" url="E:\VAND\Sagsbehandling\Spildevand\Biofos Lynettefællesskabet AS (S008)\ØR2024\"/>
    </mc:Choice>
  </mc:AlternateContent>
  <xr:revisionPtr revIDLastSave="0" documentId="13_ncr:1_{E32D91E7-4353-47A1-A58B-FA54B31720F4}"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4" r:id="rId11"/>
    <sheet name="Fane 8. Skattesagen" sheetId="41" r:id="rId12"/>
    <sheet name="Fane 9. Korrektion af ØR2022"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Tabel_Fane_13">'Fane 13. Tilknyttet virksomhed'!$B$8:$F$14</definedName>
    <definedName name="Tabel_Fane_14">'Fane 14. Bortfald'!$B$9:$F$13</definedName>
    <definedName name="Tabel_Fane_2_1">'Fane 2.1. Økonomisk ramme 2024'!$B$8:$D$39</definedName>
    <definedName name="Tabel_Fane_2_2">'Fane 2.2. Økonomisk ramme 2025'!$B$8:$D$23</definedName>
    <definedName name="Tabel_Fane_2_3">'Fane 2.3. Økonomisk ramme 2026'!$B$8:$D$23</definedName>
    <definedName name="Tabel_Fane_2_4">'Fane 2.4. Økonomisk ramme 2027'!$B$8:$D$23</definedName>
    <definedName name="Tabel_Fane_3">'Fane 3. Omkostninger i ØR2023'!$B$8:$D$38</definedName>
    <definedName name="Tabel_Fane_8">'Fane 8. Skattesagen'!$B$8:$H$18</definedName>
  </definedNames>
  <calcPr calcId="191029"/>
</workbook>
</file>

<file path=xl/calcChain.xml><?xml version="1.0" encoding="utf-8"?>
<calcChain xmlns="http://schemas.openxmlformats.org/spreadsheetml/2006/main">
  <c r="E16" i="44" l="1"/>
  <c r="E17" i="44"/>
  <c r="E18" i="44" l="1"/>
  <c r="C9" i="2"/>
  <c r="E29" i="44" l="1"/>
  <c r="E31" i="44" s="1"/>
  <c r="E30" i="20"/>
  <c r="E29" i="20"/>
  <c r="E31" i="20" s="1"/>
  <c r="E24" i="20"/>
  <c r="E23" i="20"/>
  <c r="E25" i="20" s="1"/>
  <c r="C20" i="15" l="1"/>
  <c r="C32" i="2"/>
  <c r="C39" i="2" s="1"/>
  <c r="G18" i="41"/>
  <c r="E17" i="20" l="1"/>
  <c r="E11" i="20"/>
  <c r="C22" i="23" l="1"/>
  <c r="C22" i="22"/>
  <c r="C22" i="15"/>
  <c r="C36" i="2"/>
  <c r="C13" i="29" l="1"/>
  <c r="C14" i="29" s="1"/>
  <c r="E13" i="29"/>
  <c r="E14" i="29" s="1"/>
  <c r="E13" i="39"/>
  <c r="E14" i="39" s="1"/>
  <c r="C13" i="39"/>
  <c r="C14" i="39" s="1"/>
  <c r="J11" i="11"/>
  <c r="H11" i="11"/>
  <c r="C20" i="19"/>
  <c r="C21" i="19" s="1"/>
  <c r="C16" i="23" l="1"/>
  <c r="C16" i="15"/>
  <c r="C16" i="22"/>
  <c r="F10" i="11"/>
  <c r="F11" i="11" s="1"/>
  <c r="C12" i="21" l="1"/>
  <c r="C13" i="21" s="1"/>
  <c r="C12" i="2" l="1"/>
  <c r="C15" i="2" l="1"/>
  <c r="C14" i="2"/>
  <c r="G6" i="36" l="1"/>
  <c r="C26" i="2" l="1"/>
  <c r="C28" i="2" s="1"/>
  <c r="C27" i="2" l="1"/>
  <c r="C29" i="2" s="1"/>
  <c r="C30" i="2" l="1"/>
  <c r="C18" i="22" l="1"/>
  <c r="C22" i="2"/>
  <c r="C18" i="23" l="1"/>
  <c r="E16" i="40"/>
  <c r="E12" i="40" l="1"/>
  <c r="G7" i="30" l="1"/>
  <c r="G11" i="30" s="1"/>
  <c r="E18" i="20" l="1"/>
  <c r="E12" i="20"/>
  <c r="E13" i="20" s="1"/>
  <c r="E19" i="20" l="1"/>
  <c r="C18" i="15" s="1"/>
  <c r="C24" i="2"/>
  <c r="E17" i="40"/>
  <c r="C34" i="2" s="1"/>
  <c r="E12" i="21" l="1"/>
  <c r="E13" i="21" s="1"/>
  <c r="C13" i="2" l="1"/>
  <c r="G10" i="36" l="1"/>
  <c r="G13" i="36" l="1"/>
  <c r="G17" i="36" s="1"/>
  <c r="G19" i="36" s="1"/>
  <c r="G15" i="30" l="1"/>
  <c r="G19" i="30" s="1"/>
  <c r="G23" i="36" l="1"/>
  <c r="G25" i="36" s="1"/>
  <c r="G21" i="30"/>
  <c r="G29" i="36" l="1"/>
  <c r="G31" i="36" s="1"/>
  <c r="G25" i="30"/>
  <c r="C10" i="37" l="1"/>
  <c r="C19" i="37" s="1"/>
  <c r="C20" i="37" s="1"/>
  <c r="C10" i="2" l="1"/>
  <c r="G35" i="36"/>
  <c r="G53" i="30" l="1"/>
  <c r="G37" i="36"/>
  <c r="G41" i="36" l="1"/>
  <c r="G27" i="30"/>
  <c r="G43" i="36" l="1"/>
  <c r="G31" i="30"/>
  <c r="E10" i="37"/>
  <c r="E19" i="37" s="1"/>
  <c r="E20" i="37" s="1"/>
  <c r="G53" i="36" l="1"/>
  <c r="G33" i="30"/>
  <c r="G37" i="30" s="1"/>
  <c r="G39" i="30" l="1"/>
  <c r="G43" i="30" s="1"/>
  <c r="C11" i="2"/>
  <c r="G45" i="30" l="1"/>
  <c r="G54" i="36"/>
  <c r="G55" i="36" s="1"/>
  <c r="C19" i="2" s="1"/>
  <c r="G52" i="30" l="1"/>
  <c r="G54" i="30" s="1"/>
  <c r="G58" i="30" s="1"/>
  <c r="G59" i="36"/>
  <c r="G60" i="36" s="1"/>
  <c r="C13" i="15" s="1"/>
  <c r="C16" i="2"/>
  <c r="C17" i="2" s="1"/>
  <c r="C18" i="2" l="1"/>
  <c r="C20" i="2" s="1"/>
  <c r="G64" i="36"/>
  <c r="G65" i="36" s="1"/>
  <c r="C13" i="22" s="1"/>
  <c r="G69" i="36" l="1"/>
  <c r="G70" i="36" s="1"/>
  <c r="C13" i="23" s="1"/>
  <c r="G59" i="30"/>
  <c r="G63" i="30" s="1"/>
  <c r="G64" i="30" l="1"/>
  <c r="G68" i="30" s="1"/>
  <c r="C12" i="15"/>
  <c r="G69" i="30" l="1"/>
  <c r="C12" i="23" s="1"/>
  <c r="C12" i="22"/>
  <c r="C9" i="15"/>
  <c r="C10" i="15" l="1"/>
  <c r="C11" i="15" s="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<sst xmlns="http://schemas.openxmlformats.org/spreadsheetml/2006/main" count="658" uniqueCount="293">
  <si>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</si>
  <si>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</si>
  <si>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</si>
  <si>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</si>
  <si>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</si>
  <si>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</si>
  <si>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</si>
  <si>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</si>
  <si>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</si>
  <si>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</si>
  <si>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</si>
  <si>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</si>
  <si>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</si>
  <si>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</si>
  <si>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</si>
  <si>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</si>
  <si>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</si>
  <si>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</si>
  <si>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</si>
  <si>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</si>
  <si>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</si>
  <si>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</si>
  <si>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</si>
  <si>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</si>
  <si>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</si>
  <si>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</si>
  <si>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</si>
  <si>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</si>
  <si>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</si>
  <si>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</si>
  <si>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</si>
  <si>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</si>
  <si>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</si>
  <si>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</si>
  <si>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</si>
  <si>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</si>
  <si>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</si>
  <si>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</si>
  <si>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</si>
  <si>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</si>
  <si>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</si>
  <si>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</si>
  <si>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</si>
  <si>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</si>
  <si>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</si>
  <si>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</si>
  <si>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</si>
  <si>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</si>
  <si>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</si>
  <si>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</si>
  <si>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</si>
  <si>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</si>
  <si>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</si>
  <si>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</si>
  <si>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</si>
  <si>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</si>
  <si>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</si>
  <si>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</si>
  <si>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</si>
  <si>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</si>
  <si>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</si>
  <si>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</si>
  <si>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</si>
  <si>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</si>
  <si>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</si>
  <si>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</si>
  <si>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</si>
  <si>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</si>
  <si>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driftsomkostninger til de vejledende økonomiske rammer for 2022</t>
  </si>
  <si>
    <t>Nye varige tillæg</t>
  </si>
  <si>
    <t>Engangstillæg - Anlæg</t>
  </si>
  <si>
    <t>Fane 7</t>
  </si>
  <si>
    <t>Varige tillæg</t>
  </si>
  <si>
    <t>Engangstillæg</t>
  </si>
  <si>
    <t>Periodevise driftsomkostninger</t>
  </si>
  <si>
    <t>Engangstillæg i alt</t>
  </si>
  <si>
    <t>Fane 5: Individuelt effektiviseringskrav</t>
  </si>
  <si>
    <t>Bortfald eller nedsættelse i alt i 2022-prisniveau</t>
  </si>
  <si>
    <t>Korrektion af tidligere godkendte omkostninger til medfinansiering af klimatilpasningsprojekter</t>
  </si>
  <si>
    <t>Generelt effektiviseringskrav på drift</t>
  </si>
  <si>
    <t>Generelt effektiviseringskrav på anlæg</t>
  </si>
  <si>
    <t>Tillæg til tilbagebetaling af vejbidrag</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</si>
  <si>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</si>
  <si>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</si>
  <si>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</si>
  <si>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</si>
  <si>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</si>
  <si>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</si>
  <si>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</si>
  <si>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</si>
  <si>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</si>
  <si>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</si>
  <si>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</si>
  <si>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</si>
  <si>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</si>
  <si>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</si>
  <si>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</si>
  <si>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</si>
  <si>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</si>
  <si>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</si>
  <si>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</si>
  <si>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</si>
  <si>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</si>
  <si>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</si>
  <si>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</si>
  <si>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Tidligere tilknyttet virksomhed - Drift</t>
  </si>
  <si>
    <t>Tidligere tilknyttet virksomhed - Anlæg</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</si>
  <si>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</si>
  <si>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</si>
  <si>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</si>
  <si>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</si>
  <si>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</si>
  <si>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</si>
  <si>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</si>
  <si>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</si>
  <si>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</si>
  <si>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</si>
  <si>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</si>
  <si>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</si>
  <si>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</si>
  <si>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</si>
  <si>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</si>
  <si>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</si>
  <si>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Tillæg til den økonomiske ramme for 2025</t>
  </si>
  <si>
    <t>Periodevise driftsomkostninger til de økonomiske rammer for 2025</t>
  </si>
  <si>
    <t>Periodevise driftsomkostninger i alt i 2025-prisniveau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</si>
  <si>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</si>
  <si>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</si>
  <si>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</si>
  <si>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</si>
  <si>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Generelt effektiviseringskrav til anlægsomkostninger i de økonomiske rammer for 2022</t>
  </si>
  <si>
    <t>Generelt effektiviseringskrav til anlægsomkostningerne i ØR22</t>
  </si>
  <si>
    <t>Generelt effektiviseringskrav til anlægsomkostningerne i ØR23</t>
  </si>
  <si>
    <t>Prisudvikling til brug for ØR2022-2023</t>
  </si>
  <si>
    <t>Prisudvikling til brug for nye omkostninger i ØR2020</t>
  </si>
  <si>
    <t xml:space="preserve">Indtægter fra tilbagebetalt skat eller sambeskatningsbidrag som følge af skattesagen </t>
  </si>
  <si>
    <t xml:space="preserve">Nedsættelse af økonomisk ramme som følge af skattesagen </t>
  </si>
  <si>
    <t>Tidligere opgjorte over/underdækninger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</si>
  <si>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</si>
  <si>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</si>
  <si>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</si>
  <si>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</si>
  <si>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</si>
  <si>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Over/underdækning i 2020</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</si>
  <si>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</si>
  <si>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</si>
  <si>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</si>
  <si>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</si>
  <si>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</si>
  <si>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Anlægsprojekter igangsat senest den 1. marts 2016</t>
  </si>
  <si>
    <t>Anlægsprojekter igangsat senest den 1. marts 2016 i alt</t>
  </si>
  <si>
    <t>Generelt effektiviseringskrav til anlægsomkostninger i de økonomiske rammer for 2023</t>
  </si>
  <si>
    <t>Prisudvikling til brug for ØR2023-2024</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</si>
  <si>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</si>
  <si>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</si>
  <si>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</si>
  <si>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</si>
  <si>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</si>
  <si>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</si>
  <si>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</si>
  <si>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</si>
  <si>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</si>
  <si>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</si>
  <si>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</si>
  <si>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</si>
  <si>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</si>
  <si>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</si>
  <si>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</si>
  <si>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</si>
  <si>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</si>
  <si>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</si>
  <si>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</si>
  <si>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</si>
  <si>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</si>
  <si>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</si>
  <si>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</si>
  <si>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</si>
  <si>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</si>
  <si>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</si>
  <si>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</si>
  <si>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</si>
  <si>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</si>
  <si>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</si>
  <si>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</si>
  <si>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</si>
  <si>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</si>
  <si>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</si>
  <si>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</si>
  <si>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</si>
  <si>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</si>
  <si>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Prisudvikling til brug for ØR2024-2025</t>
  </si>
  <si>
    <t>Generelt effektiviseringskrav til brug for anlægsomkostninger i ØR2024</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</si>
  <si>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</si>
  <si>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</si>
  <si>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</si>
  <si>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</si>
  <si>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2024</t>
  </si>
  <si>
    <t>Samlet økonomisk ramme for 2025</t>
  </si>
  <si>
    <t>Omkostninger i ØR2023</t>
  </si>
  <si>
    <t>Kontrol af den økonomiske ramme for 2022</t>
  </si>
  <si>
    <t>Korrektion af den økonomiske ramme for 2022</t>
  </si>
  <si>
    <t>Fane 2.1: Samlet økonomisk ramme for 2024</t>
  </si>
  <si>
    <t>Fane 2.2: Samlet økonomisk ramme for 2025</t>
  </si>
  <si>
    <t>Fane 2.3: Samlet økonomisk ramme for 2026</t>
  </si>
  <si>
    <t>Fane 2.4: Samlet økonomisk ramme for 2027</t>
  </si>
  <si>
    <t>Fane 3: Videreførte omkostninger fra den økonomiske ramme for 2023</t>
  </si>
  <si>
    <t>Fane 7: Kontrol med overholdelse af den økonomiske ramme for 2022</t>
  </si>
  <si>
    <t>Fane 9: Korrektioner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</si>
  <si>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</si>
  <si>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</si>
  <si>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</si>
  <si>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</si>
  <si>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</si>
  <si>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driftsomkostninger til de økonomiske rammer for 2026</t>
  </si>
  <si>
    <t>Generelt effektiviseringskrav til driftsomkostningerne i ØR26</t>
  </si>
  <si>
    <t>Base for anlægsomkostninger til de økonomiske rammer for 2022</t>
  </si>
  <si>
    <t>Base for anlægsomkostninger til de økonomiske rammer for 2023</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</si>
  <si>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</si>
  <si>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</si>
  <si>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</si>
  <si>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</si>
  <si>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Base for anlægsomkostninger til de økonomiske rammer for 2026</t>
  </si>
  <si>
    <t>Generelt effektiviseringskrav til anlægsomkostningerne i ØR26</t>
  </si>
  <si>
    <t>Generelt effektiviseringskrav til anlægsomkostninger i de vejledende økonomiske rammer for 2027</t>
  </si>
  <si>
    <t>Faktiske ikke-påvirkelige omkostninger i 2022</t>
  </si>
  <si>
    <t>Omkostninger i 2022</t>
  </si>
  <si>
    <t>Ikke-påvirkelige omkostninger i 2022-prisniveau</t>
  </si>
  <si>
    <t>Ikke-påvirkelige omkostninger i 2024-prisniveau</t>
  </si>
  <si>
    <t>Korrektion af periodevise driftsomkostninger i de økonomiske rammer for 2022</t>
  </si>
  <si>
    <t>Faktisk periodevis driftsomkostning i 2022</t>
  </si>
  <si>
    <t>Tidligere godkendt tillæg indregnet i den økonomiske ramme for 2022</t>
  </si>
  <si>
    <t>Faktisk omkostning til medfinansiering af klimatilpasningsprojekter i 2022</t>
  </si>
  <si>
    <t>Korrektioner af den økonomiske ramme for 2022 i alt</t>
  </si>
  <si>
    <t>Nye tillæg i alt i 2023-prisniveau</t>
  </si>
  <si>
    <t>Engangstillæg i alt i 2022-prisniveau</t>
  </si>
  <si>
    <t>Engangstillæg i alt i 2024-prisniveau</t>
  </si>
  <si>
    <t>Periodevise driftsomkostninger i alt i 2022-prisniveau</t>
  </si>
  <si>
    <t>Periodevise driftsomkostninger til de økonomiske rammer for 2027</t>
  </si>
  <si>
    <t>Periodevise driftsomkostninger i alt i 2027-prisniveau</t>
  </si>
  <si>
    <t>Tilknyttet virksomhed under hovedvirksomheden i alt (2023-prisniveau)</t>
  </si>
  <si>
    <t>Bortfald eller nedsættelse fra og med de økonomiske rammer for 2024</t>
  </si>
  <si>
    <t>Bortfald eller nedsættelse i alt i 2023-prisniveau</t>
  </si>
  <si>
    <t>Nye varige driftsomkostninger til de økonomiske rammer for 2022</t>
  </si>
  <si>
    <t>Nye varige driftsomkostninger til de økonomiske rammer for 2021</t>
  </si>
  <si>
    <t>Nye varige driftsomkostninger til de økonomiske rammer for 2018</t>
  </si>
  <si>
    <t>Nye varige driftsomkostninger til de økonomiske rammer for 2019</t>
  </si>
  <si>
    <t>Nye varige driftsomkostninger til de økonomiske rammer for 2020</t>
  </si>
  <si>
    <t>Nye varige anlægsomkostninger til de økonomiske rammer for 2018</t>
  </si>
  <si>
    <t>Nye varige anlægsomkostninger til de økonomiske rammer for 2019</t>
  </si>
  <si>
    <t>Nye varige anlægsomkostninger til de økonomiske rammer for 2020</t>
  </si>
  <si>
    <t>Nye varige anlægsomkostninger til de økonomiske rammer for 2021</t>
  </si>
  <si>
    <t>Nye varige anlægsomkostninger til de økonomiske rammer for 2022</t>
  </si>
  <si>
    <t>Til økonomiske rammer for 2024-2025</t>
  </si>
  <si>
    <t>Vejledende</t>
  </si>
  <si>
    <t>Oversigt over den økonomiske ramme for 2023</t>
  </si>
  <si>
    <t>Videreførte omkostninger fra den økonomiske ramme for 2022</t>
  </si>
  <si>
    <t>Generelt effektiviseringskrav til driftsomkostninger i de vejledende økonomiske rammer for 2026</t>
  </si>
  <si>
    <t>Generelt effektiviseringskrav til driftsomkostninger i de vejledene økonomiske rammer for 2027</t>
  </si>
  <si>
    <t>Generelt effektiviseringskrav til anlægsomkostninger i de økonomiske rammer for 2025</t>
  </si>
  <si>
    <t>Generelt effektiviseringskrav til anlægsomkostninger i de økonomiske rammer for 2024</t>
  </si>
  <si>
    <t>Engangstillæg til den økonomiske ramme for 2024</t>
  </si>
  <si>
    <t>Tillæg til den økonomiske ramme for 2027</t>
  </si>
  <si>
    <t>Vejledende økonomisk ramme for 2026</t>
  </si>
  <si>
    <t>Vejledende økonomisk ramme for 2027</t>
  </si>
  <si>
    <t>Note: Beregningen af jeres individuelle effektiviseringskrav fremgår af metodepapir samt bilag til benchmarkingmodellen 2024.</t>
  </si>
  <si>
    <t>Ingen anlægsprojekter</t>
  </si>
  <si>
    <t>Korrektion af den økonomiske ramme for 2021</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</si>
  <si>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</si>
  <si>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</si>
  <si>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</si>
  <si>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</si>
  <si>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Individuelt effektiviseringskrav til de økonomiske rammer for 2024-2025</t>
  </si>
  <si>
    <t>Spildevandsafgift</t>
  </si>
  <si>
    <t>Afgift til Forsyningssekretariatet</t>
  </si>
  <si>
    <t>Køb af ydelser og produkter fra andre vandselskaber reguleret af vandsektorloven</t>
  </si>
  <si>
    <t>Ejendomsskatter</t>
  </si>
  <si>
    <t>Metanafgift, affaldsgift og lignende diverse afgifter</t>
  </si>
  <si>
    <t>Over/underdækning i 2019</t>
  </si>
  <si>
    <t>Over/underdækning i 2021</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</si>
  <si>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</si>
  <si>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Fradrag i de økonomiske rammer for 2024-2025 vedr. overdækning i 2021</t>
  </si>
  <si>
    <t>Evt. overdækning i 2021</t>
  </si>
  <si>
    <t>Evt. underdækning i 2020</t>
  </si>
  <si>
    <t>Fradrag i de økonomiske rammer for 2024-2025 vedr. en evt. overdækning i 2021</t>
  </si>
  <si>
    <t>Kontrol med overholdelse af den økonomiske ramme for 2022</t>
  </si>
  <si>
    <t>Indtægtsramme i den økonomiske ramme for 2022</t>
  </si>
  <si>
    <t>Faktiske indtægter i 2022</t>
  </si>
  <si>
    <t>Resultat af kontrol med overholdelse af den økonomiske rammer for 2022</t>
  </si>
  <si>
    <t>Samlet fradrag til indregning i de økonomiske rammer for 2024-2025</t>
  </si>
  <si>
    <t>Udledningstilladelser</t>
  </si>
  <si>
    <t>Påbud om udarbejdelse af basistilstandsrapport</t>
  </si>
  <si>
    <t>Justering af den økonomiske ramme</t>
  </si>
  <si>
    <t>Justering af den økonomiske ramme for stigende el-omkostninger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</si>
</sst>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 #,##0.00_ ;_ * \-#,##0.00_ ;_ * &quot;-&quot;??_ ;_ @_ "/>
    <numFmt numFmtId="166" formatCode="_ * #,##0_ ;_ * \-#,##0_ ;_ * &quot;-&quot;??_ ;_ @_ "/>
    <numFmt numFmtId="167"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sz val="9"/>
      <color theme="1"/>
      <name val="Times New Roman"/>
      <family val="1"/>
    </font>
  </fonts>
  <fills count="12">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
      <patternFill patternType="solid">
        <fgColor theme="5"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7">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8" borderId="3" xfId="0"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164" fontId="0" fillId="2" borderId="0" xfId="0" applyNumberFormat="1" applyFill="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3" xfId="0" applyNumberFormat="1" applyFont="1" applyFill="1" applyBorder="1" applyAlignment="1" applyProtection="1">
      <alignment horizontal="right"/>
    </xf>
    <xf numFmtId="167" fontId="8" fillId="8" borderId="1" xfId="1" applyNumberFormat="1" applyFont="1" applyFill="1" applyBorder="1" applyProtection="1"/>
    <xf numFmtId="10" fontId="8" fillId="10" borderId="3" xfId="4" applyNumberFormat="1" applyFont="1" applyFill="1" applyBorder="1" applyProtection="1"/>
    <xf numFmtId="0" fontId="8" fillId="0" borderId="1" xfId="0" applyFont="1" applyFill="1" applyBorder="1" applyAlignment="1" applyProtection="1"/>
    <xf numFmtId="167" fontId="8" fillId="8" borderId="1" xfId="0" applyNumberFormat="1" applyFont="1" applyFill="1" applyBorder="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167" fontId="8" fillId="8" borderId="2" xfId="1" quotePrefix="1" applyNumberFormat="1" applyFont="1" applyFill="1" applyBorder="1" applyAlignment="1" applyProtection="1">
      <alignment horizontal="right" wrapText="1"/>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wrapText="1"/>
    </xf>
    <xf numFmtId="0" fontId="8" fillId="0" borderId="1" xfId="1" applyNumberFormat="1" applyFont="1" applyFill="1" applyBorder="1" applyProtection="1"/>
    <xf numFmtId="167" fontId="8" fillId="0" borderId="1" xfId="1" applyNumberFormat="1" applyFont="1" applyFill="1" applyBorder="1" applyProtection="1"/>
    <xf numFmtId="1" fontId="8" fillId="8" borderId="1" xfId="1" applyNumberFormat="1" applyFont="1" applyFill="1" applyBorder="1" applyProtection="1"/>
    <xf numFmtId="3" fontId="8" fillId="8" borderId="2" xfId="1" quotePrefix="1" applyNumberFormat="1" applyFont="1" applyFill="1" applyBorder="1" applyAlignment="1" applyProtection="1">
      <alignment horizontal="right" wrapText="1"/>
    </xf>
    <xf numFmtId="3" fontId="8" fillId="11" borderId="1" xfId="0" applyNumberFormat="1" applyFont="1" applyFill="1" applyBorder="1" applyProtection="1"/>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8" borderId="2" xfId="0" quotePrefix="1" applyFont="1" applyFill="1" applyBorder="1" applyAlignment="1" applyProtection="1">
      <alignment horizontal="left" wrapText="1"/>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9"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15" fillId="8" borderId="1" xfId="0" applyFont="1" applyFill="1" applyBorder="1" applyAlignment="1" applyProtection="1">
      <alignment horizontal="left" vertical="center"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Normal="100"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9.8554687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105" t="s">
        <v>4</v>
      </c>
      <c r="E6" s="105"/>
      <c r="F6" s="105"/>
      <c r="G6" s="105"/>
      <c r="H6" s="3"/>
      <c r="I6" s="1"/>
    </row>
    <row r="7" spans="1:9" ht="15" customHeight="1" x14ac:dyDescent="0.25">
      <c r="A7" s="1"/>
      <c r="B7" s="1"/>
      <c r="C7" s="3"/>
      <c r="D7" s="105"/>
      <c r="E7" s="105"/>
      <c r="F7" s="105"/>
      <c r="G7" s="105"/>
      <c r="H7" s="3"/>
      <c r="I7" s="1"/>
    </row>
    <row r="8" spans="1:9" ht="15.75" x14ac:dyDescent="0.25">
      <c r="A8" s="1"/>
      <c r="B8" s="1"/>
      <c r="C8" s="4"/>
      <c r="D8" s="110" t="s">
        <v>252</v>
      </c>
      <c r="E8" s="110"/>
      <c r="F8" s="110"/>
      <c r="G8" s="110"/>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09" t="s">
        <v>5</v>
      </c>
      <c r="E11" s="109"/>
      <c r="F11" s="109"/>
      <c r="G11" s="109"/>
      <c r="H11" s="5"/>
      <c r="I11" s="1"/>
    </row>
    <row r="12" spans="1:9" x14ac:dyDescent="0.25">
      <c r="A12" s="1"/>
      <c r="B12" s="1"/>
      <c r="C12" s="1"/>
      <c r="D12" s="1"/>
      <c r="E12" s="1"/>
      <c r="F12" s="1"/>
      <c r="G12" s="1"/>
      <c r="H12" s="5"/>
      <c r="I12" s="1"/>
    </row>
    <row r="13" spans="1:9" x14ac:dyDescent="0.25">
      <c r="A13" s="1"/>
      <c r="B13" s="1"/>
      <c r="C13" s="6" t="s">
        <v>6</v>
      </c>
      <c r="D13" s="111" t="s">
        <v>196</v>
      </c>
      <c r="E13" s="112"/>
      <c r="F13" s="112"/>
      <c r="G13" s="113"/>
      <c r="H13" s="5"/>
      <c r="I13" s="1"/>
    </row>
    <row r="14" spans="1:9" x14ac:dyDescent="0.25">
      <c r="A14" s="1"/>
      <c r="B14" s="1"/>
      <c r="C14" s="6" t="s">
        <v>16</v>
      </c>
      <c r="D14" s="102" t="s">
        <v>197</v>
      </c>
      <c r="E14" s="103"/>
      <c r="F14" s="103"/>
      <c r="G14" s="104"/>
      <c r="H14" s="5"/>
      <c r="I14" s="1"/>
    </row>
    <row r="15" spans="1:9" x14ac:dyDescent="0.25">
      <c r="A15" s="1"/>
      <c r="B15" s="1"/>
      <c r="C15" s="6" t="s">
        <v>31</v>
      </c>
      <c r="D15" s="102" t="s">
        <v>262</v>
      </c>
      <c r="E15" s="103"/>
      <c r="F15" s="103"/>
      <c r="G15" s="104"/>
      <c r="H15" s="5"/>
      <c r="I15" s="1"/>
    </row>
    <row r="16" spans="1:9" x14ac:dyDescent="0.25">
      <c r="A16" s="1"/>
      <c r="B16" s="1"/>
      <c r="C16" s="6" t="s">
        <v>32</v>
      </c>
      <c r="D16" s="102" t="s">
        <v>263</v>
      </c>
      <c r="E16" s="103"/>
      <c r="F16" s="103"/>
      <c r="G16" s="104"/>
      <c r="H16" s="5"/>
      <c r="I16" s="1"/>
    </row>
    <row r="17" spans="1:9" x14ac:dyDescent="0.25">
      <c r="A17" s="1"/>
      <c r="B17" s="1"/>
      <c r="C17" s="6" t="s">
        <v>101</v>
      </c>
      <c r="D17" s="102" t="s">
        <v>198</v>
      </c>
      <c r="E17" s="103"/>
      <c r="F17" s="103"/>
      <c r="G17" s="104"/>
      <c r="H17" s="5"/>
      <c r="I17" s="1"/>
    </row>
    <row r="18" spans="1:9" x14ac:dyDescent="0.25">
      <c r="A18" s="1"/>
      <c r="B18" s="1"/>
      <c r="C18" s="6" t="s">
        <v>88</v>
      </c>
      <c r="D18" s="99" t="s">
        <v>79</v>
      </c>
      <c r="E18" s="100"/>
      <c r="F18" s="100"/>
      <c r="G18" s="101"/>
      <c r="H18" s="5"/>
      <c r="I18" s="1"/>
    </row>
    <row r="19" spans="1:9" x14ac:dyDescent="0.25">
      <c r="A19" s="1"/>
      <c r="B19" s="1"/>
      <c r="C19" s="6" t="s">
        <v>89</v>
      </c>
      <c r="D19" s="99" t="s">
        <v>80</v>
      </c>
      <c r="E19" s="100"/>
      <c r="F19" s="100"/>
      <c r="G19" s="101"/>
      <c r="H19" s="5"/>
      <c r="I19" s="1"/>
    </row>
    <row r="20" spans="1:9" x14ac:dyDescent="0.25">
      <c r="A20" s="1"/>
      <c r="B20" s="1"/>
      <c r="C20" s="6" t="s">
        <v>7</v>
      </c>
      <c r="D20" s="99" t="s">
        <v>10</v>
      </c>
      <c r="E20" s="100"/>
      <c r="F20" s="100"/>
      <c r="G20" s="101"/>
      <c r="H20" s="5"/>
      <c r="I20" s="1"/>
    </row>
    <row r="21" spans="1:9" x14ac:dyDescent="0.25">
      <c r="A21" s="1"/>
      <c r="B21" s="1"/>
      <c r="C21" s="6" t="s">
        <v>90</v>
      </c>
      <c r="D21" s="106" t="s">
        <v>12</v>
      </c>
      <c r="E21" s="107"/>
      <c r="F21" s="107"/>
      <c r="G21" s="108"/>
      <c r="H21" s="5"/>
      <c r="I21" s="1"/>
    </row>
    <row r="22" spans="1:9" x14ac:dyDescent="0.25">
      <c r="A22" s="1"/>
      <c r="B22" s="1"/>
      <c r="C22" s="6" t="s">
        <v>71</v>
      </c>
      <c r="D22" s="93" t="s">
        <v>199</v>
      </c>
      <c r="E22" s="94"/>
      <c r="F22" s="94"/>
      <c r="G22" s="95"/>
      <c r="H22" s="5"/>
      <c r="I22" s="1"/>
    </row>
    <row r="23" spans="1:9" x14ac:dyDescent="0.25">
      <c r="A23" s="1"/>
      <c r="B23" s="1"/>
      <c r="C23" s="6" t="s">
        <v>8</v>
      </c>
      <c r="D23" s="93" t="s">
        <v>181</v>
      </c>
      <c r="E23" s="94"/>
      <c r="F23" s="94"/>
      <c r="G23" s="95"/>
      <c r="H23" s="5"/>
      <c r="I23" s="1"/>
    </row>
    <row r="24" spans="1:9" x14ac:dyDescent="0.25">
      <c r="A24" s="1"/>
      <c r="B24" s="1"/>
      <c r="C24" s="6" t="s">
        <v>9</v>
      </c>
      <c r="D24" s="93" t="s">
        <v>200</v>
      </c>
      <c r="E24" s="94"/>
      <c r="F24" s="94"/>
      <c r="G24" s="95"/>
      <c r="H24" s="5"/>
      <c r="I24" s="1"/>
    </row>
    <row r="25" spans="1:9" x14ac:dyDescent="0.25">
      <c r="A25" s="1"/>
      <c r="B25" s="1"/>
      <c r="C25" s="6" t="s">
        <v>166</v>
      </c>
      <c r="D25" s="93" t="s">
        <v>160</v>
      </c>
      <c r="E25" s="94"/>
      <c r="F25" s="94"/>
      <c r="G25" s="95"/>
      <c r="H25" s="1"/>
      <c r="I25" s="1"/>
    </row>
    <row r="26" spans="1:9" x14ac:dyDescent="0.25">
      <c r="A26" s="1"/>
      <c r="B26" s="1"/>
      <c r="C26" s="6" t="s">
        <v>167</v>
      </c>
      <c r="D26" s="93" t="s">
        <v>72</v>
      </c>
      <c r="E26" s="94"/>
      <c r="F26" s="94"/>
      <c r="G26" s="95"/>
      <c r="H26" s="1"/>
      <c r="I26" s="1"/>
    </row>
    <row r="27" spans="1:9" x14ac:dyDescent="0.25">
      <c r="A27" s="1"/>
      <c r="B27" s="1"/>
      <c r="C27" s="6" t="s">
        <v>168</v>
      </c>
      <c r="D27" s="93" t="s">
        <v>73</v>
      </c>
      <c r="E27" s="94"/>
      <c r="F27" s="94"/>
      <c r="G27" s="95"/>
      <c r="H27" s="1"/>
      <c r="I27" s="1"/>
    </row>
    <row r="28" spans="1:9" x14ac:dyDescent="0.25">
      <c r="A28" s="1"/>
      <c r="B28" s="1"/>
      <c r="C28" s="6" t="s">
        <v>15</v>
      </c>
      <c r="D28" s="93" t="s">
        <v>74</v>
      </c>
      <c r="E28" s="94"/>
      <c r="F28" s="94"/>
      <c r="G28" s="95"/>
      <c r="H28" s="1"/>
      <c r="I28" s="1"/>
    </row>
    <row r="29" spans="1:9" x14ac:dyDescent="0.25">
      <c r="A29" s="1"/>
      <c r="B29" s="1"/>
      <c r="C29" s="6" t="s">
        <v>34</v>
      </c>
      <c r="D29" s="93" t="s">
        <v>114</v>
      </c>
      <c r="E29" s="94"/>
      <c r="F29" s="94"/>
      <c r="G29" s="95"/>
      <c r="H29" s="1"/>
      <c r="I29" s="1"/>
    </row>
    <row r="30" spans="1:9" x14ac:dyDescent="0.25">
      <c r="A30" s="1"/>
      <c r="B30" s="1"/>
      <c r="C30" s="6" t="s">
        <v>35</v>
      </c>
      <c r="D30" s="93" t="s">
        <v>33</v>
      </c>
      <c r="E30" s="94"/>
      <c r="F30" s="94"/>
      <c r="G30" s="95"/>
      <c r="H30" s="1"/>
      <c r="I30" s="1"/>
    </row>
    <row r="31" spans="1:9" x14ac:dyDescent="0.25">
      <c r="A31" s="1"/>
      <c r="B31" s="1"/>
      <c r="C31" s="6" t="s">
        <v>169</v>
      </c>
      <c r="D31" s="96" t="s">
        <v>87</v>
      </c>
      <c r="E31" s="97"/>
      <c r="F31" s="97"/>
      <c r="G31" s="98"/>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8"/>
      <c r="B51" s="48"/>
      <c r="C51" s="48"/>
      <c r="D51" s="48"/>
      <c r="E51" s="48"/>
      <c r="F51" s="48"/>
      <c r="G51" s="48"/>
      <c r="H51" s="48"/>
      <c r="I51" s="48"/>
    </row>
  </sheetData>
  <sheetProtection algorithmName="SHA-512" hashValue="GEaPC940hwzMxU9ytejmoq64KuHD0PMt3D5McMkCJgL0Q8e56r6S7WXGnCYGzKQAw6uqD3d2UKWj5WVqN6pmYg==" saltValue="VWPNCOPRmX+2ybiOQ2ozVg==" spinCount="100000" sheet="1" objects="1" scenarios="1"/>
  <mergeCells count="22">
    <mergeCell ref="D14:G14"/>
    <mergeCell ref="D6:G7"/>
    <mergeCell ref="D21:G21"/>
    <mergeCell ref="D22:G22"/>
    <mergeCell ref="D11:G11"/>
    <mergeCell ref="D8:G8"/>
    <mergeCell ref="D15:G15"/>
    <mergeCell ref="D16:G16"/>
    <mergeCell ref="D19:G19"/>
    <mergeCell ref="D13:G13"/>
    <mergeCell ref="D17:G17"/>
    <mergeCell ref="D20:G20"/>
    <mergeCell ref="D30:G30"/>
    <mergeCell ref="D31:G31"/>
    <mergeCell ref="D18:G18"/>
    <mergeCell ref="D25:G25"/>
    <mergeCell ref="D26:G26"/>
    <mergeCell ref="D29:G29"/>
    <mergeCell ref="D27:G27"/>
    <mergeCell ref="D28:G28"/>
    <mergeCell ref="D24:G24"/>
    <mergeCell ref="D23:G23"/>
  </mergeCells>
  <hyperlinks>
    <hyperlink ref="D14:G14" location="'Fane 2.2. Økonomisk ramme 2025'!A1" display="Samlet økonomisk ramme for 2025" xr:uid="{00000000-0004-0000-0000-000000000000}"/>
    <hyperlink ref="D26:G26" location="'Fane 11.1. Varige tillæg'!A1" display="Varige tillæg" xr:uid="{00000000-0004-0000-0000-000001000000}"/>
    <hyperlink ref="D29:G29" location="'Fane 13. Tilknyttet virksomhed'!A1" display="Tilknyttet virksomhed" xr:uid="{00000000-0004-0000-0000-000002000000}"/>
    <hyperlink ref="D30:G30" location="'Fane 14. Bortfald'!A1" display="Bortfald" xr:uid="{00000000-0004-0000-0000-000003000000}"/>
    <hyperlink ref="D13:G13" location="'Fane 2.1. Økonomisk ramme 2024'!A1" display="Samlet økonomisk ramme for 2024" xr:uid="{00000000-0004-0000-0000-000004000000}"/>
    <hyperlink ref="D16:G16" location="'Fane 2.4. Økonomisk ramme 2027'!A1" display="Samlet økonomisk ramme for 2027" xr:uid="{00000000-0004-0000-0000-000005000000}"/>
    <hyperlink ref="D15:G15" location="'Fane 2.3. Økonomisk ramme 2026'!A1" display="Samlet økonomisk ramme for 2026" xr:uid="{00000000-0004-0000-0000-000006000000}"/>
    <hyperlink ref="D22:G22" location="'Fane 7. Kontrol af ØR2022'!A1" display="Kontrol af den økonomiske ramme for 2022" xr:uid="{00000000-0004-0000-0000-000007000000}"/>
    <hyperlink ref="D25:G25" location="'Fane 10. Anlægsprojekter (§ 19)'!A1" display="Anlægsprojekter (§ 19) " xr:uid="{00000000-0004-0000-0000-000008000000}"/>
    <hyperlink ref="D31:G31" location="'Fane 15. Nøgletal'!A1" display="Nøgletal" xr:uid="{00000000-0004-0000-0000-000009000000}"/>
    <hyperlink ref="D17:G17" location="'Fane 3. Omkostninger i ØR2023'!A1" display="Omkostninger i ØR2023" xr:uid="{00000000-0004-0000-0000-00000A000000}"/>
    <hyperlink ref="D27:G27" location="'Fane 11.2. Engangstillæg'!A1" display="Engangstillæg" xr:uid="{00000000-0004-0000-0000-00000B000000}"/>
    <hyperlink ref="D28:G28" location="'Fane 12. Periodevise driftsomk.'!A1" display="Periodevise driftsomkostninger" xr:uid="{00000000-0004-0000-0000-00000C000000}"/>
    <hyperlink ref="D24:G24" location="'Fane 9. Korrektion af ØR2022'!A1" display="Korrektion af den økonomiske ramme for 2022" xr:uid="{00000000-0004-0000-0000-00000D000000}"/>
    <hyperlink ref="D21:G21" location="'Fane 6. Ikke-påvirkelige omk.'!A1" display="Ikke-påvirkelige omkostninger" xr:uid="{00000000-0004-0000-0000-00000E000000}"/>
    <hyperlink ref="D18:G18" location="'Fane 4.1. Gen. krav - drift'!A1" display="Generelt effektiviseringskrav på drift" xr:uid="{00000000-0004-0000-0000-00000F000000}"/>
    <hyperlink ref="D20:G20" location="'Fane 5. Individuelt eff. krav'!A1" display="Individuelt effektiviseringskrav" xr:uid="{00000000-0004-0000-0000-000010000000}"/>
    <hyperlink ref="D19:G19" location="'Fane 4.2. Gen. krav - anlæg'!A1" display="Generelt effektiviseringskrav på anlæg" xr:uid="{00000000-0004-0000-0000-000011000000}"/>
    <hyperlink ref="D23:G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6"/>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4" t="s">
        <v>93</v>
      </c>
      <c r="C3" s="114"/>
      <c r="D3" s="114"/>
      <c r="E3" s="1"/>
      <c r="F3" s="1"/>
    </row>
    <row r="4" spans="1:6" ht="15" customHeight="1" x14ac:dyDescent="0.25">
      <c r="A4" s="1"/>
      <c r="B4" s="114"/>
      <c r="C4" s="114"/>
      <c r="D4" s="114"/>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18" t="s">
        <v>224</v>
      </c>
      <c r="C8" s="119"/>
      <c r="D8" s="120"/>
      <c r="E8" s="1"/>
      <c r="F8" s="1"/>
    </row>
    <row r="9" spans="1:6" ht="15" customHeight="1" x14ac:dyDescent="0.25">
      <c r="A9" s="1"/>
      <c r="B9" s="27" t="s">
        <v>29</v>
      </c>
      <c r="C9" s="50" t="s">
        <v>225</v>
      </c>
      <c r="D9" s="11"/>
      <c r="E9" s="1"/>
      <c r="F9" s="1"/>
    </row>
    <row r="10" spans="1:6" ht="15" customHeight="1" x14ac:dyDescent="0.25">
      <c r="A10" s="1"/>
      <c r="B10" s="85" t="s">
        <v>272</v>
      </c>
      <c r="C10" s="9">
        <v>24815680</v>
      </c>
      <c r="D10" s="14" t="s">
        <v>3</v>
      </c>
      <c r="E10" s="1"/>
      <c r="F10" s="1"/>
    </row>
    <row r="11" spans="1:6" ht="15" customHeight="1" x14ac:dyDescent="0.25">
      <c r="A11" s="1"/>
      <c r="B11" s="85" t="s">
        <v>273</v>
      </c>
      <c r="C11" s="9">
        <v>1264610</v>
      </c>
      <c r="D11" s="14" t="s">
        <v>3</v>
      </c>
      <c r="E11" s="1"/>
      <c r="F11" s="1"/>
    </row>
    <row r="12" spans="1:6" ht="26.25" x14ac:dyDescent="0.25">
      <c r="A12" s="1"/>
      <c r="B12" s="29" t="s">
        <v>274</v>
      </c>
      <c r="C12" s="9">
        <v>2923784</v>
      </c>
      <c r="D12" s="14" t="s">
        <v>3</v>
      </c>
      <c r="E12" s="1"/>
      <c r="F12" s="1"/>
    </row>
    <row r="13" spans="1:6" x14ac:dyDescent="0.25">
      <c r="A13" s="1"/>
      <c r="B13" s="85" t="s">
        <v>275</v>
      </c>
      <c r="C13" s="9">
        <v>5966643</v>
      </c>
      <c r="D13" s="14" t="s">
        <v>3</v>
      </c>
      <c r="E13" s="1"/>
      <c r="F13" s="1"/>
    </row>
    <row r="14" spans="1:6" x14ac:dyDescent="0.25">
      <c r="A14" s="1"/>
      <c r="B14" s="85" t="s">
        <v>276</v>
      </c>
      <c r="C14" s="9">
        <v>6593894</v>
      </c>
      <c r="D14" s="14" t="s">
        <v>3</v>
      </c>
      <c r="E14" s="1"/>
      <c r="F14" s="1"/>
    </row>
    <row r="15" spans="1:6" x14ac:dyDescent="0.25">
      <c r="A15" s="1"/>
      <c r="B15" s="85"/>
      <c r="C15" s="9"/>
      <c r="D15" s="14" t="s">
        <v>3</v>
      </c>
      <c r="E15" s="1"/>
      <c r="F15" s="1"/>
    </row>
    <row r="16" spans="1:6" x14ac:dyDescent="0.25">
      <c r="A16" s="1"/>
      <c r="B16" s="85"/>
      <c r="C16" s="9"/>
      <c r="D16" s="14" t="s">
        <v>3</v>
      </c>
      <c r="E16" s="1"/>
      <c r="F16" s="1"/>
    </row>
    <row r="17" spans="1:6" x14ac:dyDescent="0.25">
      <c r="A17" s="1"/>
      <c r="B17" s="85"/>
      <c r="C17" s="9"/>
      <c r="D17" s="14" t="s">
        <v>3</v>
      </c>
      <c r="E17" s="1"/>
      <c r="F17" s="1"/>
    </row>
    <row r="18" spans="1:6" x14ac:dyDescent="0.25">
      <c r="A18" s="1"/>
      <c r="B18" s="85"/>
      <c r="C18" s="9"/>
      <c r="D18" s="14" t="s">
        <v>3</v>
      </c>
      <c r="E18" s="1"/>
      <c r="F18" s="1"/>
    </row>
    <row r="19" spans="1:6" x14ac:dyDescent="0.25">
      <c r="A19" s="1"/>
      <c r="B19" s="85"/>
      <c r="C19" s="9"/>
      <c r="D19" s="14" t="s">
        <v>3</v>
      </c>
      <c r="E19" s="1"/>
      <c r="F19" s="1"/>
    </row>
    <row r="20" spans="1:6" x14ac:dyDescent="0.25">
      <c r="A20" s="1"/>
      <c r="B20" s="33" t="s">
        <v>226</v>
      </c>
      <c r="C20" s="12">
        <f>SUM(C10:C19)</f>
        <v>41564611</v>
      </c>
      <c r="D20" s="13" t="s">
        <v>3</v>
      </c>
      <c r="E20" s="1"/>
      <c r="F20" s="1"/>
    </row>
    <row r="21" spans="1:6" x14ac:dyDescent="0.25">
      <c r="A21" s="1"/>
      <c r="B21" s="33" t="s">
        <v>227</v>
      </c>
      <c r="C21" s="12">
        <f>C20*(1+'Fane 15. Nøgletal'!C16)^2</f>
        <v>48552812.519559041</v>
      </c>
      <c r="D21" s="13" t="s">
        <v>3</v>
      </c>
      <c r="E21" s="1"/>
      <c r="F21" s="1"/>
    </row>
    <row r="22" spans="1:6" x14ac:dyDescent="0.25">
      <c r="A22" s="1"/>
      <c r="B22" s="16"/>
      <c r="C22" s="15"/>
      <c r="D22" s="15"/>
      <c r="E22" s="1"/>
      <c r="F22" s="1"/>
    </row>
    <row r="23" spans="1:6" x14ac:dyDescent="0.25">
      <c r="A23" s="1"/>
      <c r="B23" s="16"/>
      <c r="C23" s="15"/>
      <c r="D23" s="15"/>
      <c r="E23" s="1"/>
      <c r="F23" s="1"/>
    </row>
    <row r="24" spans="1:6" x14ac:dyDescent="0.25">
      <c r="A24" s="1"/>
      <c r="B24" s="118" t="s">
        <v>99</v>
      </c>
      <c r="C24" s="119"/>
      <c r="D24" s="120"/>
      <c r="E24" s="1"/>
      <c r="F24" s="1"/>
    </row>
    <row r="25" spans="1:6" x14ac:dyDescent="0.25">
      <c r="A25" s="1"/>
      <c r="B25" s="85" t="s">
        <v>109</v>
      </c>
      <c r="C25" s="9">
        <v>0</v>
      </c>
      <c r="D25" s="14" t="s">
        <v>3</v>
      </c>
      <c r="E25" s="1"/>
      <c r="F25" s="1"/>
    </row>
    <row r="26" spans="1:6" x14ac:dyDescent="0.25">
      <c r="A26" s="1"/>
      <c r="B26" s="85" t="s">
        <v>123</v>
      </c>
      <c r="C26" s="9">
        <v>0</v>
      </c>
      <c r="D26" s="14" t="s">
        <v>3</v>
      </c>
      <c r="E26" s="1"/>
      <c r="F26" s="1"/>
    </row>
    <row r="27" spans="1:6" x14ac:dyDescent="0.25">
      <c r="A27" s="1"/>
      <c r="B27" s="85" t="s">
        <v>142</v>
      </c>
      <c r="C27" s="9">
        <v>0</v>
      </c>
      <c r="D27" s="14" t="s">
        <v>3</v>
      </c>
      <c r="E27" s="1"/>
      <c r="F27" s="1"/>
    </row>
    <row r="28" spans="1:6" x14ac:dyDescent="0.25">
      <c r="A28" s="1"/>
      <c r="B28" s="34" t="s">
        <v>261</v>
      </c>
      <c r="C28" s="9">
        <v>0</v>
      </c>
      <c r="D28" s="38" t="s">
        <v>3</v>
      </c>
      <c r="E28" s="1"/>
      <c r="F28" s="1"/>
    </row>
    <row r="29" spans="1:6" x14ac:dyDescent="0.25">
      <c r="A29" s="1"/>
      <c r="B29" s="118"/>
      <c r="C29" s="119"/>
      <c r="D29" s="120"/>
      <c r="E29" s="1"/>
      <c r="F29" s="1"/>
    </row>
    <row r="30" spans="1:6" x14ac:dyDescent="0.25">
      <c r="A30" s="1"/>
      <c r="B30" s="1"/>
      <c r="C30" s="1"/>
      <c r="D30" s="1"/>
      <c r="E30" s="1"/>
      <c r="F30" s="1"/>
    </row>
    <row r="31" spans="1:6" x14ac:dyDescent="0.25">
      <c r="A31" s="1"/>
      <c r="B31" s="1"/>
      <c r="C31" s="1"/>
      <c r="D31" s="1"/>
      <c r="E31" s="1"/>
      <c r="F31" s="1"/>
    </row>
    <row r="32" spans="1:6" x14ac:dyDescent="0.25">
      <c r="A32" s="1"/>
      <c r="B32" s="118" t="s">
        <v>81</v>
      </c>
      <c r="C32" s="119"/>
      <c r="D32" s="120"/>
      <c r="E32" s="1"/>
      <c r="F32" s="1"/>
    </row>
    <row r="33" spans="1:6" x14ac:dyDescent="0.25">
      <c r="A33" s="1"/>
      <c r="B33" s="85" t="s">
        <v>109</v>
      </c>
      <c r="C33" s="9">
        <v>0</v>
      </c>
      <c r="D33" s="14" t="s">
        <v>3</v>
      </c>
      <c r="E33" s="1"/>
      <c r="F33" s="1"/>
    </row>
    <row r="34" spans="1:6" x14ac:dyDescent="0.25">
      <c r="A34" s="1"/>
      <c r="B34" s="85" t="s">
        <v>123</v>
      </c>
      <c r="C34" s="9">
        <v>0</v>
      </c>
      <c r="D34" s="14" t="s">
        <v>3</v>
      </c>
      <c r="E34" s="1"/>
      <c r="F34" s="1"/>
    </row>
    <row r="35" spans="1:6" x14ac:dyDescent="0.25">
      <c r="A35" s="1"/>
      <c r="B35" s="85" t="s">
        <v>142</v>
      </c>
      <c r="C35" s="9">
        <v>0</v>
      </c>
      <c r="D35" s="14" t="s">
        <v>3</v>
      </c>
      <c r="E35" s="1"/>
      <c r="F35" s="1"/>
    </row>
    <row r="36" spans="1:6" x14ac:dyDescent="0.25">
      <c r="A36" s="1"/>
      <c r="B36" s="34" t="s">
        <v>261</v>
      </c>
      <c r="C36" s="9">
        <v>0</v>
      </c>
      <c r="D36" s="38" t="s">
        <v>3</v>
      </c>
      <c r="E36" s="1"/>
      <c r="F36" s="1"/>
    </row>
    <row r="37" spans="1:6" x14ac:dyDescent="0.25">
      <c r="A37" s="1"/>
      <c r="B37" s="118"/>
      <c r="C37" s="119"/>
      <c r="D37" s="120"/>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48"/>
      <c r="B50" s="48"/>
      <c r="C50" s="48"/>
      <c r="D50" s="48"/>
      <c r="E50" s="48"/>
      <c r="F50" s="48"/>
    </row>
    <row r="51" spans="1:6" x14ac:dyDescent="0.25">
      <c r="A51" s="48"/>
      <c r="B51" s="48"/>
      <c r="C51" s="48"/>
      <c r="D51" s="48"/>
      <c r="E51" s="48"/>
      <c r="F51" s="48"/>
    </row>
    <row r="52" spans="1:6" x14ac:dyDescent="0.25">
      <c r="A52" s="48"/>
      <c r="B52" s="48"/>
      <c r="C52" s="48"/>
      <c r="D52" s="48"/>
      <c r="E52" s="48"/>
      <c r="F52" s="48"/>
    </row>
    <row r="53" spans="1:6" x14ac:dyDescent="0.25">
      <c r="A53" s="48"/>
      <c r="B53" s="48"/>
      <c r="C53" s="48"/>
      <c r="D53" s="48"/>
      <c r="E53" s="48"/>
      <c r="F53" s="48"/>
    </row>
    <row r="54" spans="1:6" x14ac:dyDescent="0.25">
      <c r="A54" s="48"/>
      <c r="B54" s="48"/>
      <c r="C54" s="48"/>
      <c r="D54" s="48"/>
      <c r="E54" s="48"/>
      <c r="F54" s="48"/>
    </row>
    <row r="55" spans="1:6" x14ac:dyDescent="0.25">
      <c r="A55" s="48"/>
      <c r="B55" s="48"/>
      <c r="C55" s="48"/>
      <c r="D55" s="48"/>
      <c r="E55" s="48"/>
      <c r="F55" s="48"/>
    </row>
    <row r="56" spans="1:6" x14ac:dyDescent="0.25">
      <c r="A56" s="48"/>
      <c r="B56" s="48"/>
      <c r="C56" s="48"/>
      <c r="D56" s="48"/>
      <c r="E56" s="48"/>
      <c r="F56" s="48"/>
    </row>
  </sheetData>
  <sheetProtection algorithmName="SHA-512" hashValue="E39LeolXTYXTfpiiDP0piP9yswAMnClUbeJVulOllWwlUmcZUvlqUVLAI4G1gMgz5L+4xnfrHYLIP89XxyhG7A==" saltValue="gkb2DqGZsH2Z1Vy35mxtKQ=="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87C36-C635-4E9D-9DB7-A0F58E07E383}">
  <dimension ref="A1:G51"/>
  <sheetViews>
    <sheetView showGridLines="0" view="pageLayout" zoomScaleNormal="100" workbookViewId="0"/>
  </sheetViews>
  <sheetFormatPr defaultColWidth="9.140625" defaultRowHeight="15" x14ac:dyDescent="0.25"/>
  <cols>
    <col min="1" max="1" width="3.28515625" style="2" customWidth="1"/>
    <col min="2" max="3" width="9.140625" style="2"/>
    <col min="4" max="4" width="45.85546875" style="2" customWidth="1"/>
    <col min="5" max="5" width="12.28515625" style="2" bestFit="1" customWidth="1"/>
    <col min="6" max="6" width="3.28515625" style="2" customWidth="1"/>
    <col min="7" max="7" width="3.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6" t="s">
        <v>206</v>
      </c>
      <c r="C3" s="116"/>
      <c r="D3" s="116"/>
      <c r="E3" s="116"/>
      <c r="F3" s="116"/>
      <c r="G3" s="1"/>
    </row>
    <row r="4" spans="1:7" ht="15" customHeight="1" x14ac:dyDescent="0.25">
      <c r="A4" s="1"/>
      <c r="B4" s="116"/>
      <c r="C4" s="116"/>
      <c r="D4" s="116"/>
      <c r="E4" s="116"/>
      <c r="F4" s="116"/>
      <c r="G4" s="1"/>
    </row>
    <row r="5" spans="1:7" ht="15" customHeight="1" x14ac:dyDescent="0.25">
      <c r="A5" s="1"/>
      <c r="B5" s="78"/>
      <c r="C5" s="78"/>
      <c r="D5" s="78"/>
      <c r="E5" s="78"/>
      <c r="F5" s="78"/>
      <c r="G5" s="1"/>
    </row>
    <row r="6" spans="1:7" ht="15" customHeight="1" x14ac:dyDescent="0.25">
      <c r="A6" s="1"/>
      <c r="B6" s="78"/>
      <c r="C6" s="78"/>
      <c r="D6" s="78"/>
      <c r="E6" s="78"/>
      <c r="F6" s="78"/>
      <c r="G6" s="1"/>
    </row>
    <row r="7" spans="1:7" ht="15" customHeight="1" x14ac:dyDescent="0.25">
      <c r="A7" s="1"/>
      <c r="B7" s="1"/>
      <c r="C7" s="1"/>
      <c r="D7" s="1"/>
      <c r="E7" s="1"/>
      <c r="F7" s="1"/>
      <c r="G7" s="1"/>
    </row>
    <row r="8" spans="1:7" ht="15" customHeight="1" x14ac:dyDescent="0.25">
      <c r="A8" s="1"/>
      <c r="B8" s="118" t="s">
        <v>137</v>
      </c>
      <c r="C8" s="119"/>
      <c r="D8" s="119"/>
      <c r="E8" s="119"/>
      <c r="F8" s="120"/>
      <c r="G8" s="1"/>
    </row>
    <row r="9" spans="1:7" ht="15" customHeight="1" x14ac:dyDescent="0.25">
      <c r="A9" s="1"/>
      <c r="B9" s="121" t="s">
        <v>277</v>
      </c>
      <c r="C9" s="122"/>
      <c r="D9" s="123"/>
      <c r="E9" s="9">
        <v>29709701</v>
      </c>
      <c r="F9" s="14" t="s">
        <v>3</v>
      </c>
      <c r="G9" s="1"/>
    </row>
    <row r="10" spans="1:7" ht="15" customHeight="1" x14ac:dyDescent="0.25">
      <c r="A10" s="1"/>
      <c r="B10" s="121" t="s">
        <v>143</v>
      </c>
      <c r="C10" s="122"/>
      <c r="D10" s="123"/>
      <c r="E10" s="9">
        <v>-19640157</v>
      </c>
      <c r="F10" s="14" t="s">
        <v>3</v>
      </c>
      <c r="G10" s="1"/>
    </row>
    <row r="11" spans="1:7" ht="15" customHeight="1" x14ac:dyDescent="0.25">
      <c r="A11" s="1"/>
      <c r="B11" s="121" t="s">
        <v>278</v>
      </c>
      <c r="C11" s="122"/>
      <c r="D11" s="123"/>
      <c r="E11" s="9">
        <v>-15064032</v>
      </c>
      <c r="F11" s="14" t="s">
        <v>3</v>
      </c>
      <c r="G11" s="1"/>
    </row>
    <row r="12" spans="1:7" x14ac:dyDescent="0.25">
      <c r="A12" s="1"/>
      <c r="B12" s="33"/>
      <c r="C12" s="28"/>
      <c r="D12" s="28"/>
      <c r="E12" s="28"/>
      <c r="F12" s="19"/>
      <c r="G12" s="1"/>
    </row>
    <row r="13" spans="1:7" ht="42" customHeight="1" x14ac:dyDescent="0.25">
      <c r="A13" s="1"/>
      <c r="B13" s="130" t="s">
        <v>279</v>
      </c>
      <c r="C13" s="131"/>
      <c r="D13" s="131"/>
      <c r="E13" s="131"/>
      <c r="F13" s="132"/>
      <c r="G13" s="1"/>
    </row>
    <row r="14" spans="1:7" ht="15" customHeight="1" x14ac:dyDescent="0.25">
      <c r="A14" s="1"/>
      <c r="B14" s="1"/>
      <c r="C14" s="1"/>
      <c r="D14" s="1"/>
      <c r="E14" s="1"/>
      <c r="F14" s="1"/>
      <c r="G14" s="1"/>
    </row>
    <row r="15" spans="1:7" x14ac:dyDescent="0.25">
      <c r="A15" s="1"/>
      <c r="B15" s="79" t="s">
        <v>280</v>
      </c>
      <c r="C15" s="80"/>
      <c r="D15" s="80"/>
      <c r="E15" s="80"/>
      <c r="F15" s="81"/>
      <c r="G15" s="1"/>
    </row>
    <row r="16" spans="1:7" x14ac:dyDescent="0.25">
      <c r="A16" s="1"/>
      <c r="B16" s="82" t="s">
        <v>281</v>
      </c>
      <c r="C16" s="83"/>
      <c r="D16" s="84"/>
      <c r="E16" s="9">
        <f>IF(E11&lt;0,E11,0)</f>
        <v>-15064032</v>
      </c>
      <c r="F16" s="14" t="s">
        <v>3</v>
      </c>
      <c r="G16" s="1"/>
    </row>
    <row r="17" spans="1:7" x14ac:dyDescent="0.25">
      <c r="A17" s="1"/>
      <c r="B17" s="82" t="s">
        <v>282</v>
      </c>
      <c r="C17" s="83"/>
      <c r="D17" s="84"/>
      <c r="E17" s="9">
        <f>IF(SUM(E10)&gt;0,SUM(E10),0)</f>
        <v>0</v>
      </c>
      <c r="F17" s="14" t="s">
        <v>3</v>
      </c>
      <c r="G17" s="1"/>
    </row>
    <row r="18" spans="1:7" x14ac:dyDescent="0.25">
      <c r="A18" s="1"/>
      <c r="B18" s="86" t="s">
        <v>283</v>
      </c>
      <c r="C18" s="87"/>
      <c r="D18" s="88"/>
      <c r="E18" s="62">
        <f>IF(SUM(E16:E17)&gt;0,0,SUM(E16:E17))</f>
        <v>-15064032</v>
      </c>
      <c r="F18" s="17" t="s">
        <v>3</v>
      </c>
      <c r="G18" s="1"/>
    </row>
    <row r="19" spans="1:7" x14ac:dyDescent="0.25">
      <c r="A19" s="1"/>
      <c r="B19" s="33"/>
      <c r="C19" s="28"/>
      <c r="D19" s="28"/>
      <c r="E19" s="28"/>
      <c r="F19" s="19"/>
      <c r="G19" s="1"/>
    </row>
    <row r="20" spans="1:7" x14ac:dyDescent="0.25">
      <c r="A20" s="1"/>
      <c r="B20" s="1"/>
      <c r="C20" s="1"/>
      <c r="D20" s="1"/>
      <c r="E20" s="1"/>
      <c r="F20" s="1"/>
      <c r="G20" s="1"/>
    </row>
    <row r="21" spans="1:7" x14ac:dyDescent="0.25">
      <c r="A21" s="1"/>
      <c r="B21" s="79" t="s">
        <v>284</v>
      </c>
      <c r="C21" s="80"/>
      <c r="D21" s="80"/>
      <c r="E21" s="80"/>
      <c r="F21" s="81"/>
      <c r="G21" s="1"/>
    </row>
    <row r="22" spans="1:7" x14ac:dyDescent="0.25">
      <c r="A22" s="1"/>
      <c r="B22" s="82" t="s">
        <v>285</v>
      </c>
      <c r="C22" s="83"/>
      <c r="D22" s="84"/>
      <c r="E22" s="9">
        <v>348918279</v>
      </c>
      <c r="F22" s="14" t="s">
        <v>3</v>
      </c>
      <c r="G22" s="1"/>
    </row>
    <row r="23" spans="1:7" x14ac:dyDescent="0.25">
      <c r="A23" s="1"/>
      <c r="B23" s="82" t="s">
        <v>286</v>
      </c>
      <c r="C23" s="83"/>
      <c r="D23" s="84"/>
      <c r="E23" s="9">
        <v>361821409</v>
      </c>
      <c r="F23" s="14" t="s">
        <v>3</v>
      </c>
      <c r="G23" s="1"/>
    </row>
    <row r="24" spans="1:7" x14ac:dyDescent="0.25">
      <c r="A24" s="1"/>
      <c r="B24" s="82" t="s">
        <v>30</v>
      </c>
      <c r="C24" s="83"/>
      <c r="D24" s="84"/>
      <c r="E24" s="9">
        <v>0</v>
      </c>
      <c r="F24" s="14" t="s">
        <v>3</v>
      </c>
      <c r="G24" s="1"/>
    </row>
    <row r="25" spans="1:7" x14ac:dyDescent="0.25">
      <c r="A25" s="1"/>
      <c r="B25" s="86" t="s">
        <v>287</v>
      </c>
      <c r="C25" s="87"/>
      <c r="D25" s="88"/>
      <c r="E25" s="76">
        <v>-12903129.610766411</v>
      </c>
      <c r="F25" s="17" t="s">
        <v>3</v>
      </c>
      <c r="G25" s="1"/>
    </row>
    <row r="26" spans="1:7" x14ac:dyDescent="0.25">
      <c r="A26" s="1"/>
      <c r="B26" s="33"/>
      <c r="C26" s="28"/>
      <c r="D26" s="28"/>
      <c r="E26" s="28"/>
      <c r="F26" s="19"/>
      <c r="G26" s="1"/>
    </row>
    <row r="27" spans="1:7" x14ac:dyDescent="0.25">
      <c r="A27" s="1"/>
      <c r="B27" s="1"/>
      <c r="C27" s="1"/>
      <c r="D27" s="1"/>
      <c r="E27" s="1"/>
      <c r="F27" s="1"/>
      <c r="G27" s="1"/>
    </row>
    <row r="28" spans="1:7" x14ac:dyDescent="0.25">
      <c r="A28" s="1"/>
      <c r="B28" s="118" t="s">
        <v>288</v>
      </c>
      <c r="C28" s="119"/>
      <c r="D28" s="119"/>
      <c r="E28" s="119"/>
      <c r="F28" s="120"/>
      <c r="G28" s="1"/>
    </row>
    <row r="29" spans="1:7" x14ac:dyDescent="0.25">
      <c r="A29" s="1"/>
      <c r="B29" s="136" t="s">
        <v>116</v>
      </c>
      <c r="C29" s="137"/>
      <c r="D29" s="138"/>
      <c r="E29" s="9">
        <f>IF(E18&lt;0,IF(E25&lt;0,SUM(E18,E25),IF(E10&gt;0,SUM(E10:E11),E18)),IF(AND(E25&lt;0,SUM(E25,E11)&lt;0),IF(E11&lt;0,E25,IF(SUM(E10:E11)&gt;0,SUM(E25,E11),IF(AND(E25&lt;0,E18=0,E11&gt;0),IF(SUM(E9:E11)&gt;0,E25+E11,E25)))),0))</f>
        <v>-27967161.610766411</v>
      </c>
      <c r="F29" s="14" t="s">
        <v>3</v>
      </c>
      <c r="G29" s="1"/>
    </row>
    <row r="30" spans="1:7" x14ac:dyDescent="0.25">
      <c r="A30" s="1"/>
      <c r="B30" s="136" t="s">
        <v>84</v>
      </c>
      <c r="C30" s="137"/>
      <c r="D30" s="138"/>
      <c r="E30" s="9">
        <v>2</v>
      </c>
      <c r="F30" s="14" t="s">
        <v>20</v>
      </c>
      <c r="G30" s="1"/>
    </row>
    <row r="31" spans="1:7" x14ac:dyDescent="0.25">
      <c r="A31" s="1"/>
      <c r="B31" s="139" t="s">
        <v>117</v>
      </c>
      <c r="C31" s="140"/>
      <c r="D31" s="141"/>
      <c r="E31" s="10">
        <f>E29/E30</f>
        <v>-13983580.805383205</v>
      </c>
      <c r="F31" s="17" t="s">
        <v>3</v>
      </c>
      <c r="G31" s="1"/>
    </row>
    <row r="32" spans="1:7" x14ac:dyDescent="0.25">
      <c r="A32" s="1"/>
      <c r="B32" s="142"/>
      <c r="C32" s="143"/>
      <c r="D32" s="143"/>
      <c r="E32" s="143"/>
      <c r="F32" s="144"/>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48"/>
      <c r="B46" s="48"/>
      <c r="C46" s="48"/>
      <c r="D46" s="48"/>
      <c r="E46" s="48"/>
      <c r="F46" s="48"/>
      <c r="G46" s="48"/>
    </row>
    <row r="47" spans="1:7" x14ac:dyDescent="0.25">
      <c r="A47" s="48"/>
      <c r="B47" s="48"/>
      <c r="C47" s="48"/>
      <c r="D47" s="48"/>
      <c r="E47" s="48"/>
      <c r="F47" s="48"/>
      <c r="G47" s="48"/>
    </row>
    <row r="48" spans="1:7" x14ac:dyDescent="0.25">
      <c r="A48" s="48"/>
      <c r="B48" s="48"/>
      <c r="C48" s="48"/>
      <c r="D48" s="48"/>
      <c r="E48" s="48"/>
      <c r="F48" s="48"/>
      <c r="G48" s="48"/>
    </row>
    <row r="49" spans="1:7" x14ac:dyDescent="0.25">
      <c r="A49" s="48"/>
      <c r="B49" s="48"/>
      <c r="C49" s="48"/>
      <c r="D49" s="48"/>
      <c r="E49" s="48"/>
      <c r="F49" s="48"/>
      <c r="G49" s="48"/>
    </row>
    <row r="50" spans="1:7" x14ac:dyDescent="0.25">
      <c r="A50" s="48"/>
      <c r="B50" s="48"/>
      <c r="C50" s="48"/>
      <c r="D50" s="48"/>
      <c r="E50" s="48"/>
      <c r="F50" s="48"/>
      <c r="G50" s="48"/>
    </row>
    <row r="51" spans="1:7" x14ac:dyDescent="0.25">
      <c r="A51" s="48"/>
      <c r="G51" s="48"/>
    </row>
  </sheetData>
  <sheetProtection algorithmName="SHA-512" hashValue="EAKWYHHbw7Fu4QvXhrW5x56SCXk3HQsiDnbf/P7cWnpAK8Yp40zuCKeFgCVlHceWpZHoYgbDmv6mzxrqknmh7w==" saltValue="h4UFRObEFqf5RpyKYFZ28w==" spinCount="100000" sheet="1" objects="1" scenarios="1"/>
  <mergeCells count="11">
    <mergeCell ref="B13:F13"/>
    <mergeCell ref="B3:F4"/>
    <mergeCell ref="B8:F8"/>
    <mergeCell ref="B9:D9"/>
    <mergeCell ref="B10:D10"/>
    <mergeCell ref="B11:D11"/>
    <mergeCell ref="B28:F28"/>
    <mergeCell ref="B29:D29"/>
    <mergeCell ref="B30:D30"/>
    <mergeCell ref="B31:D31"/>
    <mergeCell ref="B32:F32"/>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I50"/>
  <sheetViews>
    <sheetView view="pageLayout" zoomScaleNormal="100" workbookViewId="0"/>
  </sheetViews>
  <sheetFormatPr defaultColWidth="9.140625" defaultRowHeight="15" x14ac:dyDescent="0.25"/>
  <cols>
    <col min="1" max="1" width="4.7109375" style="61" customWidth="1"/>
    <col min="2" max="2" width="22.5703125" style="61" customWidth="1"/>
    <col min="3" max="3" width="8.28515625" style="61" customWidth="1"/>
    <col min="4" max="6" width="10.7109375" style="61" customWidth="1"/>
    <col min="7" max="7" width="11.140625" style="61" customWidth="1"/>
    <col min="8" max="8" width="3.28515625" style="61" customWidth="1"/>
    <col min="9" max="9" width="4.85546875" style="61" customWidth="1"/>
    <col min="10" max="16384" width="9.140625" style="61"/>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4" t="s">
        <v>170</v>
      </c>
      <c r="C3" s="114"/>
      <c r="D3" s="114"/>
      <c r="E3" s="114"/>
      <c r="F3" s="114"/>
      <c r="G3" s="114"/>
      <c r="H3" s="114"/>
      <c r="I3" s="1"/>
    </row>
    <row r="4" spans="1:9" ht="15" customHeight="1" x14ac:dyDescent="0.25">
      <c r="A4" s="1"/>
      <c r="B4" s="114"/>
      <c r="C4" s="114"/>
      <c r="D4" s="114"/>
      <c r="E4" s="114"/>
      <c r="F4" s="114"/>
      <c r="G4" s="114"/>
      <c r="H4" s="114"/>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8" t="s">
        <v>189</v>
      </c>
      <c r="C8" s="119"/>
      <c r="D8" s="119"/>
      <c r="E8" s="119"/>
      <c r="F8" s="119"/>
      <c r="G8" s="119"/>
      <c r="H8" s="120"/>
      <c r="I8" s="1"/>
    </row>
    <row r="9" spans="1:9" ht="15" customHeight="1" x14ac:dyDescent="0.25">
      <c r="A9" s="1"/>
      <c r="B9" s="148" t="s">
        <v>171</v>
      </c>
      <c r="C9" s="149"/>
      <c r="D9" s="149"/>
      <c r="E9" s="149"/>
      <c r="F9" s="149"/>
      <c r="G9" s="149"/>
      <c r="H9" s="150"/>
      <c r="I9" s="1"/>
    </row>
    <row r="10" spans="1:9" x14ac:dyDescent="0.25">
      <c r="A10" s="1"/>
      <c r="B10" s="145" t="s">
        <v>172</v>
      </c>
      <c r="C10" s="146"/>
      <c r="D10" s="146"/>
      <c r="E10" s="146"/>
      <c r="F10" s="147"/>
      <c r="G10" s="9">
        <v>0</v>
      </c>
      <c r="H10" s="9" t="s">
        <v>3</v>
      </c>
      <c r="I10" s="1"/>
    </row>
    <row r="11" spans="1:9" x14ac:dyDescent="0.25">
      <c r="A11" s="1"/>
      <c r="B11" s="145" t="s">
        <v>173</v>
      </c>
      <c r="C11" s="146"/>
      <c r="D11" s="146"/>
      <c r="E11" s="146"/>
      <c r="F11" s="147"/>
      <c r="G11" s="9">
        <v>0</v>
      </c>
      <c r="H11" s="9" t="s">
        <v>3</v>
      </c>
      <c r="I11" s="1"/>
    </row>
    <row r="12" spans="1:9" x14ac:dyDescent="0.25">
      <c r="A12" s="1"/>
      <c r="B12" s="145" t="s">
        <v>174</v>
      </c>
      <c r="C12" s="146"/>
      <c r="D12" s="146"/>
      <c r="E12" s="146"/>
      <c r="F12" s="147"/>
      <c r="G12" s="9">
        <v>0</v>
      </c>
      <c r="H12" s="9" t="s">
        <v>3</v>
      </c>
      <c r="I12" s="1"/>
    </row>
    <row r="13" spans="1:9" x14ac:dyDescent="0.25">
      <c r="A13" s="1"/>
      <c r="B13" s="145" t="s">
        <v>175</v>
      </c>
      <c r="C13" s="146"/>
      <c r="D13" s="146"/>
      <c r="E13" s="146"/>
      <c r="F13" s="147"/>
      <c r="G13" s="9">
        <v>0</v>
      </c>
      <c r="H13" s="9" t="s">
        <v>3</v>
      </c>
      <c r="I13" s="1"/>
    </row>
    <row r="14" spans="1:9" x14ac:dyDescent="0.25">
      <c r="A14" s="1"/>
      <c r="B14" s="145" t="s">
        <v>176</v>
      </c>
      <c r="C14" s="146"/>
      <c r="D14" s="146"/>
      <c r="E14" s="146"/>
      <c r="F14" s="147"/>
      <c r="G14" s="9">
        <v>0</v>
      </c>
      <c r="H14" s="9" t="s">
        <v>3</v>
      </c>
      <c r="I14" s="1"/>
    </row>
    <row r="15" spans="1:9" x14ac:dyDescent="0.25">
      <c r="A15" s="1"/>
      <c r="B15" s="145" t="s">
        <v>177</v>
      </c>
      <c r="C15" s="146"/>
      <c r="D15" s="146"/>
      <c r="E15" s="146"/>
      <c r="F15" s="147"/>
      <c r="G15" s="9">
        <v>0</v>
      </c>
      <c r="H15" s="9" t="s">
        <v>3</v>
      </c>
      <c r="I15" s="1"/>
    </row>
    <row r="16" spans="1:9" x14ac:dyDescent="0.25">
      <c r="A16" s="1"/>
      <c r="B16" s="145" t="s">
        <v>178</v>
      </c>
      <c r="C16" s="146"/>
      <c r="D16" s="146"/>
      <c r="E16" s="146"/>
      <c r="F16" s="147"/>
      <c r="G16" s="9">
        <v>0</v>
      </c>
      <c r="H16" s="9" t="s">
        <v>3</v>
      </c>
      <c r="I16" s="1"/>
    </row>
    <row r="17" spans="1:9" x14ac:dyDescent="0.25">
      <c r="A17" s="1"/>
      <c r="B17" s="145" t="s">
        <v>179</v>
      </c>
      <c r="C17" s="146"/>
      <c r="D17" s="146"/>
      <c r="E17" s="146"/>
      <c r="F17" s="147"/>
      <c r="G17" s="9">
        <v>0</v>
      </c>
      <c r="H17" s="9" t="s">
        <v>3</v>
      </c>
      <c r="I17" s="1"/>
    </row>
    <row r="18" spans="1:9" x14ac:dyDescent="0.25">
      <c r="A18" s="1"/>
      <c r="B18" s="118" t="s">
        <v>180</v>
      </c>
      <c r="C18" s="119"/>
      <c r="D18" s="119"/>
      <c r="E18" s="119"/>
      <c r="F18" s="120"/>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8+sMs2+E+grIEob9GTQXrOJVp+yXHwGFgMdKangHaL5H5WVfpKyJW7YPIIoFKVrus60Hj+KjqWC/agwkk5EP5A==" saltValue="5dEbZztnk5bDEopVVliNEg==" spinCount="100000" sheet="1" objects="1" scenarios="1"/>
  <mergeCells count="12">
    <mergeCell ref="B18:F18"/>
    <mergeCell ref="B13:F13"/>
    <mergeCell ref="B14:F14"/>
    <mergeCell ref="B15:F15"/>
    <mergeCell ref="B16:F16"/>
    <mergeCell ref="B17:F17"/>
    <mergeCell ref="B12:F12"/>
    <mergeCell ref="B9:H9"/>
    <mergeCell ref="B3:H4"/>
    <mergeCell ref="B8:H8"/>
    <mergeCell ref="B10:F10"/>
    <mergeCell ref="B11:F11"/>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6" t="s">
        <v>207</v>
      </c>
      <c r="C3" s="116"/>
      <c r="D3" s="116"/>
      <c r="E3" s="116"/>
      <c r="F3" s="116"/>
      <c r="G3" s="1"/>
    </row>
    <row r="4" spans="1:7" ht="15" customHeight="1" x14ac:dyDescent="0.25">
      <c r="A4" s="1"/>
      <c r="B4" s="116"/>
      <c r="C4" s="116"/>
      <c r="D4" s="116"/>
      <c r="E4" s="116"/>
      <c r="F4" s="116"/>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8" t="s">
        <v>228</v>
      </c>
      <c r="C9" s="119"/>
      <c r="D9" s="119"/>
      <c r="E9" s="119"/>
      <c r="F9" s="120"/>
      <c r="G9" s="1"/>
    </row>
    <row r="10" spans="1:7" x14ac:dyDescent="0.25">
      <c r="A10" s="1"/>
      <c r="B10" s="130" t="s">
        <v>82</v>
      </c>
      <c r="C10" s="131"/>
      <c r="D10" s="132"/>
      <c r="E10" s="7">
        <v>0</v>
      </c>
      <c r="F10" s="8" t="s">
        <v>3</v>
      </c>
      <c r="G10" s="1"/>
    </row>
    <row r="11" spans="1:7" x14ac:dyDescent="0.25">
      <c r="A11" s="1"/>
      <c r="B11" s="121" t="s">
        <v>229</v>
      </c>
      <c r="C11" s="122"/>
      <c r="D11" s="123"/>
      <c r="E11" s="7">
        <v>0</v>
      </c>
      <c r="F11" s="8" t="s">
        <v>3</v>
      </c>
      <c r="G11" s="1"/>
    </row>
    <row r="12" spans="1:7" x14ac:dyDescent="0.25">
      <c r="A12" s="1"/>
      <c r="B12" s="139" t="s">
        <v>83</v>
      </c>
      <c r="C12" s="140"/>
      <c r="D12" s="141"/>
      <c r="E12" s="10">
        <f>E11-E10</f>
        <v>0</v>
      </c>
      <c r="F12" s="11" t="s">
        <v>3</v>
      </c>
      <c r="G12" s="1"/>
    </row>
    <row r="13" spans="1:7" x14ac:dyDescent="0.25">
      <c r="A13" s="1"/>
      <c r="B13" s="118" t="s">
        <v>78</v>
      </c>
      <c r="C13" s="119"/>
      <c r="D13" s="119"/>
      <c r="E13" s="119"/>
      <c r="F13" s="120"/>
      <c r="G13" s="1"/>
    </row>
    <row r="14" spans="1:7" x14ac:dyDescent="0.25">
      <c r="A14" s="1"/>
      <c r="B14" s="121" t="s">
        <v>230</v>
      </c>
      <c r="C14" s="122"/>
      <c r="D14" s="123"/>
      <c r="E14" s="7">
        <v>0</v>
      </c>
      <c r="F14" s="8" t="s">
        <v>3</v>
      </c>
      <c r="G14" s="1"/>
    </row>
    <row r="15" spans="1:7" x14ac:dyDescent="0.25">
      <c r="A15" s="1"/>
      <c r="B15" s="130" t="s">
        <v>231</v>
      </c>
      <c r="C15" s="131"/>
      <c r="D15" s="132"/>
      <c r="E15" s="7">
        <v>0</v>
      </c>
      <c r="F15" s="8" t="s">
        <v>3</v>
      </c>
      <c r="G15" s="1"/>
    </row>
    <row r="16" spans="1:7" x14ac:dyDescent="0.25">
      <c r="A16" s="1"/>
      <c r="B16" s="139" t="s">
        <v>83</v>
      </c>
      <c r="C16" s="140"/>
      <c r="D16" s="141"/>
      <c r="E16" s="10">
        <f>E15-E14</f>
        <v>0</v>
      </c>
      <c r="F16" s="11" t="s">
        <v>3</v>
      </c>
      <c r="G16" s="1"/>
    </row>
    <row r="17" spans="1:7" x14ac:dyDescent="0.25">
      <c r="A17" s="1"/>
      <c r="B17" s="33" t="s">
        <v>232</v>
      </c>
      <c r="C17" s="28"/>
      <c r="D17" s="28"/>
      <c r="E17" s="12">
        <f>E12+E16</f>
        <v>0</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2K6PMho+DaXGUWz+YPhm9F/YCNMZiCqPkZ3pZNHCzbeID95eARLsGKdAn2vg1O9wdvNUJEwmNGCqmaSCWYQsPw==" saltValue="KdwFGW8HEjmft8zIfROqaQ=="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4" t="s">
        <v>182</v>
      </c>
      <c r="C3" s="114"/>
      <c r="D3" s="114"/>
      <c r="E3" s="114"/>
      <c r="F3" s="114"/>
      <c r="G3" s="114"/>
      <c r="H3" s="114"/>
      <c r="I3" s="114"/>
      <c r="J3" s="114"/>
      <c r="K3" s="114"/>
      <c r="L3" s="1"/>
    </row>
    <row r="4" spans="1:12" ht="15" customHeight="1" x14ac:dyDescent="0.25">
      <c r="A4" s="1"/>
      <c r="B4" s="114"/>
      <c r="C4" s="114"/>
      <c r="D4" s="114"/>
      <c r="E4" s="114"/>
      <c r="F4" s="114"/>
      <c r="G4" s="114"/>
      <c r="H4" s="114"/>
      <c r="I4" s="114"/>
      <c r="J4" s="114"/>
      <c r="K4" s="114"/>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8" t="s">
        <v>149</v>
      </c>
      <c r="C8" s="119"/>
      <c r="D8" s="119"/>
      <c r="E8" s="119"/>
      <c r="F8" s="119"/>
      <c r="G8" s="119"/>
      <c r="H8" s="119"/>
      <c r="I8" s="119"/>
      <c r="J8" s="119"/>
      <c r="K8" s="120"/>
      <c r="L8" s="1"/>
    </row>
    <row r="9" spans="1:12" ht="39.75" customHeight="1" x14ac:dyDescent="0.25">
      <c r="A9" s="1"/>
      <c r="B9" s="18" t="s">
        <v>0</v>
      </c>
      <c r="C9" s="18" t="s">
        <v>1</v>
      </c>
      <c r="D9" s="151" t="s">
        <v>165</v>
      </c>
      <c r="E9" s="152"/>
      <c r="F9" s="151" t="s">
        <v>2</v>
      </c>
      <c r="G9" s="152"/>
      <c r="H9" s="151" t="s">
        <v>164</v>
      </c>
      <c r="I9" s="152"/>
      <c r="J9" s="151" t="s">
        <v>27</v>
      </c>
      <c r="K9" s="152"/>
      <c r="L9" s="1"/>
    </row>
    <row r="10" spans="1:12" x14ac:dyDescent="0.25">
      <c r="A10" s="1"/>
      <c r="B10" s="89" t="s">
        <v>265</v>
      </c>
      <c r="C10" s="45">
        <v>0</v>
      </c>
      <c r="D10" s="9">
        <v>0</v>
      </c>
      <c r="E10" s="14" t="s">
        <v>3</v>
      </c>
      <c r="F10" s="9">
        <f>IFERROR(D10/C10,0)</f>
        <v>0</v>
      </c>
      <c r="G10" s="14" t="s">
        <v>3</v>
      </c>
      <c r="H10" s="41">
        <v>0</v>
      </c>
      <c r="I10" s="14" t="s">
        <v>3</v>
      </c>
      <c r="J10" s="41">
        <v>0</v>
      </c>
      <c r="K10" s="14" t="s">
        <v>3</v>
      </c>
      <c r="L10" s="1"/>
    </row>
    <row r="11" spans="1:12" x14ac:dyDescent="0.25">
      <c r="A11" s="1"/>
      <c r="B11" s="79" t="s">
        <v>150</v>
      </c>
      <c r="C11" s="80"/>
      <c r="D11" s="81"/>
      <c r="E11" s="81"/>
      <c r="F11" s="12">
        <f>SUM(F10:F10)</f>
        <v>0</v>
      </c>
      <c r="G11" s="12" t="s">
        <v>163</v>
      </c>
      <c r="H11" s="12">
        <f>SUM(H10:H10)</f>
        <v>0</v>
      </c>
      <c r="I11" s="12" t="s">
        <v>163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48"/>
      <c r="B45" s="48"/>
      <c r="C45" s="48"/>
      <c r="D45" s="48"/>
      <c r="E45" s="48"/>
      <c r="F45" s="48"/>
      <c r="G45" s="48"/>
      <c r="H45" s="48"/>
      <c r="I45" s="48"/>
      <c r="J45" s="48"/>
      <c r="K45" s="48"/>
      <c r="L45" s="48"/>
    </row>
    <row r="46" spans="1:12" x14ac:dyDescent="0.25">
      <c r="A46" s="48"/>
      <c r="B46" s="48"/>
      <c r="C46" s="48"/>
      <c r="D46" s="48"/>
      <c r="E46" s="48"/>
      <c r="F46" s="48"/>
      <c r="G46" s="48"/>
      <c r="H46" s="48"/>
      <c r="I46" s="48"/>
      <c r="J46" s="48"/>
      <c r="K46" s="48"/>
      <c r="L46" s="48"/>
    </row>
  </sheetData>
  <sheetProtection algorithmName="SHA-512" hashValue="VEect6Wb4Ez+nfMNrUtCmo9LfqbsYsHCH42pi0WVzk5wmgYNYJZ9beD8pnxfVq/zpeNOVherdocUVhgR8oTHaA==" saltValue="rxkGrvYLLyt7iChDP85Mfw=="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4" t="s">
        <v>183</v>
      </c>
      <c r="C3" s="114"/>
      <c r="D3" s="114"/>
      <c r="E3" s="114"/>
      <c r="F3" s="114"/>
      <c r="G3" s="1"/>
    </row>
    <row r="4" spans="1:7" ht="15" customHeight="1" x14ac:dyDescent="0.25">
      <c r="A4" s="1"/>
      <c r="B4" s="114"/>
      <c r="C4" s="114"/>
      <c r="D4" s="114"/>
      <c r="E4" s="114"/>
      <c r="F4" s="11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69</v>
      </c>
      <c r="C8" s="28"/>
      <c r="D8" s="28"/>
      <c r="E8" s="28"/>
      <c r="F8" s="19"/>
      <c r="G8" s="1"/>
    </row>
    <row r="9" spans="1:7" ht="17.25" customHeight="1" x14ac:dyDescent="0.25">
      <c r="A9" s="1"/>
      <c r="B9" s="90" t="s">
        <v>17</v>
      </c>
      <c r="C9" s="90" t="s">
        <v>11</v>
      </c>
      <c r="D9" s="91"/>
      <c r="E9" s="90" t="s">
        <v>28</v>
      </c>
      <c r="F9" s="32"/>
      <c r="G9" s="1"/>
    </row>
    <row r="10" spans="1:7" x14ac:dyDescent="0.25">
      <c r="A10" s="1"/>
      <c r="B10" s="24" t="s">
        <v>153</v>
      </c>
      <c r="C10" s="21">
        <f>'Fane 10. Anlægsprojekter (§ 19)'!H11</f>
        <v>0</v>
      </c>
      <c r="D10" s="14" t="s">
        <v>3</v>
      </c>
      <c r="E10" s="9">
        <f>SUM('Fane 10. Anlægsprojekter (§ 19)'!F11,'Fane 10. Anlægsprojekter (§ 19)'!J11)</f>
        <v>0</v>
      </c>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24"/>
      <c r="C13" s="21"/>
      <c r="D13" s="14" t="s">
        <v>3</v>
      </c>
      <c r="E13" s="9"/>
      <c r="F13" s="14" t="s">
        <v>3</v>
      </c>
      <c r="G13" s="1"/>
    </row>
    <row r="14" spans="1:7" x14ac:dyDescent="0.25">
      <c r="A14" s="1"/>
      <c r="B14" s="24"/>
      <c r="C14" s="21"/>
      <c r="D14" s="14" t="s">
        <v>3</v>
      </c>
      <c r="E14" s="9"/>
      <c r="F14" s="14" t="s">
        <v>3</v>
      </c>
      <c r="G14" s="1"/>
    </row>
    <row r="15" spans="1:7" x14ac:dyDescent="0.25">
      <c r="A15" s="1"/>
      <c r="B15" s="24"/>
      <c r="C15" s="21"/>
      <c r="D15" s="14" t="s">
        <v>3</v>
      </c>
      <c r="E15" s="9"/>
      <c r="F15" s="14" t="s">
        <v>3</v>
      </c>
      <c r="G15" s="1"/>
    </row>
    <row r="16" spans="1:7" x14ac:dyDescent="0.25">
      <c r="A16" s="1"/>
      <c r="B16" s="24"/>
      <c r="C16" s="21"/>
      <c r="D16" s="14" t="s">
        <v>3</v>
      </c>
      <c r="E16" s="9"/>
      <c r="F16" s="14" t="s">
        <v>3</v>
      </c>
      <c r="G16" s="1"/>
    </row>
    <row r="17" spans="1:7" x14ac:dyDescent="0.25">
      <c r="A17" s="1"/>
      <c r="B17" s="24"/>
      <c r="C17" s="21"/>
      <c r="D17" s="14" t="s">
        <v>3</v>
      </c>
      <c r="E17" s="9"/>
      <c r="F17" s="14" t="s">
        <v>3</v>
      </c>
      <c r="G17" s="1"/>
    </row>
    <row r="18" spans="1:7" x14ac:dyDescent="0.25">
      <c r="A18" s="1"/>
      <c r="B18" s="24"/>
      <c r="C18" s="21"/>
      <c r="D18" s="14" t="s">
        <v>3</v>
      </c>
      <c r="E18" s="9"/>
      <c r="F18" s="14" t="s">
        <v>3</v>
      </c>
      <c r="G18" s="1"/>
    </row>
    <row r="19" spans="1:7" x14ac:dyDescent="0.25">
      <c r="A19" s="1"/>
      <c r="B19" s="33" t="s">
        <v>144</v>
      </c>
      <c r="C19" s="12">
        <f>SUM(C10:C18)</f>
        <v>0</v>
      </c>
      <c r="D19" s="13" t="s">
        <v>3</v>
      </c>
      <c r="E19" s="12">
        <f>SUM(E10:E18)</f>
        <v>0</v>
      </c>
      <c r="F19" s="13" t="s">
        <v>3</v>
      </c>
      <c r="G19" s="1"/>
    </row>
    <row r="20" spans="1:7" x14ac:dyDescent="0.25">
      <c r="A20" s="1"/>
      <c r="B20" s="33" t="s">
        <v>233</v>
      </c>
      <c r="C20" s="12">
        <f>C19*(1+'Fane 15. Nøgletal'!C16)</f>
        <v>0</v>
      </c>
      <c r="D20" s="13" t="s">
        <v>3</v>
      </c>
      <c r="E20" s="12">
        <f>E19*(1+'Fane 15. Nøgletal'!C16)</f>
        <v>0</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DAI6S0r8QdQzlzbCdzSpGpmSDKpdzx5F5EP1FeLUsA7qBX5yu3cAH/98WYHJr1pfn29Lv0AMC1RsJAvynesRmw==" saltValue="W9e3A+wIFDhKXkmdpBD4jg=="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4" t="s">
        <v>184</v>
      </c>
      <c r="C3" s="114"/>
      <c r="D3" s="114"/>
      <c r="E3" s="114"/>
      <c r="F3" s="114"/>
      <c r="G3" s="1"/>
    </row>
    <row r="4" spans="1:7" ht="15" customHeight="1" x14ac:dyDescent="0.25">
      <c r="A4" s="1"/>
      <c r="B4" s="114"/>
      <c r="C4" s="114"/>
      <c r="D4" s="114"/>
      <c r="E4" s="114"/>
      <c r="F4" s="11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8" t="s">
        <v>260</v>
      </c>
      <c r="C8" s="119"/>
      <c r="D8" s="119"/>
      <c r="E8" s="119"/>
      <c r="F8" s="120"/>
      <c r="G8" s="1"/>
    </row>
    <row r="9" spans="1:7" x14ac:dyDescent="0.25">
      <c r="A9" s="1"/>
      <c r="B9" s="90" t="s">
        <v>17</v>
      </c>
      <c r="C9" s="90" t="s">
        <v>11</v>
      </c>
      <c r="D9" s="91"/>
      <c r="E9" s="90" t="s">
        <v>28</v>
      </c>
      <c r="F9" s="32"/>
      <c r="G9" s="1"/>
    </row>
    <row r="10" spans="1:7" x14ac:dyDescent="0.25">
      <c r="A10" s="1"/>
      <c r="B10" s="24" t="s">
        <v>290</v>
      </c>
      <c r="C10" s="21">
        <v>219266</v>
      </c>
      <c r="D10" s="14" t="s">
        <v>3</v>
      </c>
      <c r="E10" s="9">
        <v>0</v>
      </c>
      <c r="F10" s="14" t="s">
        <v>3</v>
      </c>
      <c r="G10" s="1"/>
    </row>
    <row r="11" spans="1:7" x14ac:dyDescent="0.25">
      <c r="A11" s="1"/>
      <c r="B11" s="24" t="s">
        <v>289</v>
      </c>
      <c r="C11" s="21">
        <v>427567</v>
      </c>
      <c r="D11" s="14" t="s">
        <v>3</v>
      </c>
      <c r="E11" s="9">
        <v>0</v>
      </c>
      <c r="F11" s="14" t="s">
        <v>3</v>
      </c>
      <c r="G11" s="1"/>
    </row>
    <row r="12" spans="1:7" x14ac:dyDescent="0.25">
      <c r="A12" s="1"/>
      <c r="B12" s="24"/>
      <c r="C12" s="21"/>
      <c r="D12" s="14" t="s">
        <v>3</v>
      </c>
      <c r="E12" s="9"/>
      <c r="F12" s="14" t="s">
        <v>3</v>
      </c>
      <c r="G12" s="1"/>
    </row>
    <row r="13" spans="1:7" x14ac:dyDescent="0.25">
      <c r="A13" s="1"/>
      <c r="B13" s="33" t="s">
        <v>234</v>
      </c>
      <c r="C13" s="12">
        <f>SUM(C10:C12)</f>
        <v>646833</v>
      </c>
      <c r="D13" s="13" t="s">
        <v>3</v>
      </c>
      <c r="E13" s="12">
        <f>SUM(E10:E12)</f>
        <v>0</v>
      </c>
      <c r="F13" s="13" t="s">
        <v>3</v>
      </c>
      <c r="G13" s="1"/>
    </row>
    <row r="14" spans="1:7" x14ac:dyDescent="0.25">
      <c r="A14" s="1"/>
      <c r="B14" s="33" t="s">
        <v>235</v>
      </c>
      <c r="C14" s="12">
        <f>C13*(1+'Fane 15. Nøgletal'!C16)^2</f>
        <v>755584.15259711992</v>
      </c>
      <c r="D14" s="13" t="s">
        <v>3</v>
      </c>
      <c r="E14" s="12">
        <f>E13*(1+'Fane 15. Nøgletal'!C16)^2</f>
        <v>0</v>
      </c>
      <c r="F14" s="13" t="s">
        <v>3</v>
      </c>
      <c r="G14" s="1"/>
    </row>
    <row r="15" spans="1:7" x14ac:dyDescent="0.25">
      <c r="A15" s="1"/>
      <c r="B15" s="1"/>
      <c r="C15" s="1"/>
      <c r="D15" s="1"/>
      <c r="E15" s="1"/>
      <c r="F15" s="1"/>
      <c r="G15" s="1"/>
    </row>
    <row r="16" spans="1:7" x14ac:dyDescent="0.25">
      <c r="A16" s="1"/>
      <c r="B16" s="153"/>
      <c r="C16" s="153"/>
      <c r="D16" s="153"/>
      <c r="E16" s="153"/>
      <c r="F16" s="153"/>
      <c r="G16" s="1"/>
    </row>
    <row r="17" spans="1:7" x14ac:dyDescent="0.25">
      <c r="A17" s="1"/>
      <c r="B17" s="52"/>
      <c r="C17" s="52"/>
      <c r="D17" s="52"/>
      <c r="E17" s="52"/>
      <c r="F17" s="53"/>
      <c r="G17" s="1"/>
    </row>
    <row r="18" spans="1:7" x14ac:dyDescent="0.25">
      <c r="A18" s="1"/>
      <c r="B18" s="54"/>
      <c r="C18" s="55"/>
      <c r="D18" s="56"/>
      <c r="E18" s="57"/>
      <c r="F18" s="56"/>
      <c r="G18" s="1"/>
    </row>
    <row r="19" spans="1:7" x14ac:dyDescent="0.25">
      <c r="A19" s="1"/>
      <c r="B19" s="54"/>
      <c r="C19" s="55"/>
      <c r="D19" s="56"/>
      <c r="E19" s="57"/>
      <c r="F19" s="56"/>
      <c r="G19" s="1"/>
    </row>
    <row r="20" spans="1:7" x14ac:dyDescent="0.25">
      <c r="A20" s="1"/>
      <c r="B20" s="58"/>
      <c r="C20" s="59"/>
      <c r="D20" s="60"/>
      <c r="E20" s="59"/>
      <c r="F20" s="60"/>
      <c r="G20" s="1"/>
    </row>
    <row r="21" spans="1:7" x14ac:dyDescent="0.25">
      <c r="A21" s="1"/>
      <c r="B21" s="58"/>
      <c r="C21" s="59"/>
      <c r="D21" s="60"/>
      <c r="E21" s="59"/>
      <c r="F21" s="60"/>
      <c r="G21" s="1"/>
    </row>
    <row r="22" spans="1:7" x14ac:dyDescent="0.25">
      <c r="A22" s="1"/>
      <c r="B22" s="51"/>
      <c r="C22" s="51"/>
      <c r="D22" s="51"/>
      <c r="E22" s="51"/>
      <c r="F22" s="51"/>
      <c r="G22" s="1"/>
    </row>
    <row r="23" spans="1:7" x14ac:dyDescent="0.25">
      <c r="A23" s="1"/>
      <c r="B23" s="153"/>
      <c r="C23" s="153"/>
      <c r="D23" s="153"/>
      <c r="E23" s="153"/>
      <c r="F23" s="153"/>
      <c r="G23" s="1"/>
    </row>
    <row r="24" spans="1:7" x14ac:dyDescent="0.25">
      <c r="A24" s="1"/>
      <c r="B24" s="52"/>
      <c r="C24" s="52"/>
      <c r="D24" s="52"/>
      <c r="E24" s="52"/>
      <c r="F24" s="53"/>
      <c r="G24" s="1"/>
    </row>
    <row r="25" spans="1:7" x14ac:dyDescent="0.25">
      <c r="A25" s="1"/>
      <c r="B25" s="54"/>
      <c r="C25" s="55"/>
      <c r="D25" s="56"/>
      <c r="E25" s="57"/>
      <c r="F25" s="56"/>
      <c r="G25" s="1"/>
    </row>
    <row r="26" spans="1:7" x14ac:dyDescent="0.25">
      <c r="A26" s="1"/>
      <c r="B26" s="54"/>
      <c r="C26" s="55"/>
      <c r="D26" s="56"/>
      <c r="E26" s="57"/>
      <c r="F26" s="56"/>
      <c r="G26" s="1"/>
    </row>
    <row r="27" spans="1:7" x14ac:dyDescent="0.25">
      <c r="A27" s="1"/>
      <c r="B27" s="58"/>
      <c r="C27" s="59"/>
      <c r="D27" s="60"/>
      <c r="E27" s="59"/>
      <c r="F27" s="60"/>
      <c r="G27" s="1"/>
    </row>
    <row r="28" spans="1:7" x14ac:dyDescent="0.25">
      <c r="A28" s="1"/>
      <c r="B28" s="58"/>
      <c r="C28" s="59"/>
      <c r="D28" s="60"/>
      <c r="E28" s="59"/>
      <c r="F28" s="60"/>
      <c r="G28" s="1"/>
    </row>
    <row r="29" spans="1:7" x14ac:dyDescent="0.25">
      <c r="A29" s="1"/>
      <c r="B29" s="51"/>
      <c r="C29" s="51"/>
      <c r="D29" s="51"/>
      <c r="E29" s="51"/>
      <c r="F29" s="51"/>
      <c r="G29" s="1"/>
    </row>
    <row r="30" spans="1:7" x14ac:dyDescent="0.25">
      <c r="A30" s="1"/>
      <c r="B30" s="153"/>
      <c r="C30" s="153"/>
      <c r="D30" s="153"/>
      <c r="E30" s="153"/>
      <c r="F30" s="153"/>
      <c r="G30" s="1"/>
    </row>
    <row r="31" spans="1:7" x14ac:dyDescent="0.25">
      <c r="A31" s="1"/>
      <c r="B31" s="52"/>
      <c r="C31" s="52"/>
      <c r="D31" s="52"/>
      <c r="E31" s="52"/>
      <c r="F31" s="53"/>
      <c r="G31" s="1"/>
    </row>
    <row r="32" spans="1:7" x14ac:dyDescent="0.25">
      <c r="A32" s="1"/>
      <c r="B32" s="54"/>
      <c r="C32" s="55"/>
      <c r="D32" s="56"/>
      <c r="E32" s="57"/>
      <c r="F32" s="56"/>
      <c r="G32" s="1"/>
    </row>
    <row r="33" spans="1:7" x14ac:dyDescent="0.25">
      <c r="A33" s="1"/>
      <c r="B33" s="54"/>
      <c r="C33" s="55"/>
      <c r="D33" s="56"/>
      <c r="E33" s="57"/>
      <c r="F33" s="56"/>
      <c r="G33" s="1"/>
    </row>
    <row r="34" spans="1:7" x14ac:dyDescent="0.25">
      <c r="A34" s="1"/>
      <c r="B34" s="58"/>
      <c r="C34" s="59"/>
      <c r="D34" s="60"/>
      <c r="E34" s="59"/>
      <c r="F34" s="60"/>
      <c r="G34" s="1"/>
    </row>
    <row r="35" spans="1:7" x14ac:dyDescent="0.25">
      <c r="A35" s="1"/>
      <c r="B35" s="58"/>
      <c r="C35" s="59"/>
      <c r="D35" s="60"/>
      <c r="E35" s="59"/>
      <c r="F35" s="60"/>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txWuALhMc4ODWl3l1CSo/6hgtGwTOstBP/IrY6pFR6kH3tCVwUwRcubQewORWjFiKLbqhRLTzdwNLS2ItxDavw==" saltValue="i7KF/zgN/2j+Zb5Z7wr4eQ==" spinCount="100000" sheet="1" objects="1" scenarios="1"/>
  <mergeCells count="5">
    <mergeCell ref="B30:F30"/>
    <mergeCell ref="B3:F4"/>
    <mergeCell ref="B8:F8"/>
    <mergeCell ref="B16:F16"/>
    <mergeCell ref="B23:F2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6" t="s">
        <v>185</v>
      </c>
      <c r="C3" s="116"/>
      <c r="D3" s="116"/>
      <c r="E3" s="116"/>
      <c r="F3" s="116"/>
      <c r="G3" s="1"/>
    </row>
    <row r="4" spans="1:7" ht="15" customHeight="1" x14ac:dyDescent="0.25">
      <c r="A4" s="1"/>
      <c r="B4" s="116"/>
      <c r="C4" s="116"/>
      <c r="D4" s="116"/>
      <c r="E4" s="116"/>
      <c r="F4" s="116"/>
      <c r="G4" s="1"/>
    </row>
    <row r="5" spans="1:7" x14ac:dyDescent="0.25">
      <c r="A5" s="1"/>
      <c r="B5" s="116"/>
      <c r="C5" s="116"/>
      <c r="D5" s="116"/>
      <c r="E5" s="116"/>
      <c r="F5" s="116"/>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18" t="s">
        <v>110</v>
      </c>
      <c r="C9" s="119"/>
      <c r="D9" s="119"/>
      <c r="E9" s="119"/>
      <c r="F9" s="120"/>
      <c r="G9" s="1"/>
    </row>
    <row r="10" spans="1:7" x14ac:dyDescent="0.25">
      <c r="A10" s="1"/>
      <c r="B10" s="145" t="s">
        <v>236</v>
      </c>
      <c r="C10" s="146"/>
      <c r="D10" s="147"/>
      <c r="E10" s="9">
        <v>0</v>
      </c>
      <c r="F10" s="14" t="s">
        <v>3</v>
      </c>
      <c r="G10" s="1"/>
    </row>
    <row r="11" spans="1:7" x14ac:dyDescent="0.25">
      <c r="A11" s="1"/>
      <c r="B11" s="154" t="s">
        <v>10</v>
      </c>
      <c r="C11" s="155"/>
      <c r="D11" s="156"/>
      <c r="E11" s="9">
        <f>-E10*'Fane 5. Individuelt eff. krav'!G9</f>
        <v>0</v>
      </c>
      <c r="F11" s="14" t="s">
        <v>3</v>
      </c>
      <c r="G11" s="1"/>
    </row>
    <row r="12" spans="1:7" x14ac:dyDescent="0.25">
      <c r="A12" s="1"/>
      <c r="B12" s="154" t="s">
        <v>23</v>
      </c>
      <c r="C12" s="155"/>
      <c r="D12" s="156"/>
      <c r="E12" s="9">
        <f>-E10*'Fane 15. Nøgletal'!C33</f>
        <v>0</v>
      </c>
      <c r="F12" s="14" t="s">
        <v>3</v>
      </c>
      <c r="G12" s="1"/>
    </row>
    <row r="13" spans="1:7" x14ac:dyDescent="0.25">
      <c r="A13" s="1"/>
      <c r="B13" s="118" t="s">
        <v>111</v>
      </c>
      <c r="C13" s="119"/>
      <c r="D13" s="120"/>
      <c r="E13" s="12">
        <f>SUM(E10:E12)*(1+'Fane 15. Nøgletal'!C16)^2</f>
        <v>0</v>
      </c>
      <c r="F13" s="13" t="s">
        <v>3</v>
      </c>
      <c r="G13" s="1"/>
    </row>
    <row r="14" spans="1:7" x14ac:dyDescent="0.25">
      <c r="A14" s="1"/>
      <c r="B14" s="1"/>
      <c r="C14" s="1"/>
      <c r="D14" s="1"/>
      <c r="E14" s="1"/>
      <c r="F14" s="1"/>
      <c r="G14" s="1"/>
    </row>
    <row r="15" spans="1:7" ht="15" customHeight="1" x14ac:dyDescent="0.25">
      <c r="A15" s="1"/>
      <c r="B15" s="118" t="s">
        <v>124</v>
      </c>
      <c r="C15" s="119"/>
      <c r="D15" s="119"/>
      <c r="E15" s="119"/>
      <c r="F15" s="120"/>
      <c r="G15" s="1"/>
    </row>
    <row r="16" spans="1:7" x14ac:dyDescent="0.25">
      <c r="A16" s="1"/>
      <c r="B16" s="145" t="s">
        <v>236</v>
      </c>
      <c r="C16" s="146"/>
      <c r="D16" s="147"/>
      <c r="E16" s="9">
        <v>0</v>
      </c>
      <c r="F16" s="14" t="s">
        <v>3</v>
      </c>
      <c r="G16" s="1"/>
    </row>
    <row r="17" spans="1:7" x14ac:dyDescent="0.25">
      <c r="A17" s="1"/>
      <c r="B17" s="154" t="s">
        <v>10</v>
      </c>
      <c r="C17" s="155"/>
      <c r="D17" s="156"/>
      <c r="E17" s="9">
        <f>-E16*'Fane 5. Individuelt eff. krav'!G9</f>
        <v>0</v>
      </c>
      <c r="F17" s="14" t="s">
        <v>3</v>
      </c>
      <c r="G17" s="1"/>
    </row>
    <row r="18" spans="1:7" x14ac:dyDescent="0.25">
      <c r="A18" s="1"/>
      <c r="B18" s="154" t="s">
        <v>23</v>
      </c>
      <c r="C18" s="155"/>
      <c r="D18" s="156"/>
      <c r="E18" s="9">
        <f>-E16*'Fane 15. Nøgletal'!C33</f>
        <v>0</v>
      </c>
      <c r="F18" s="14" t="s">
        <v>3</v>
      </c>
      <c r="G18" s="1"/>
    </row>
    <row r="19" spans="1:7" x14ac:dyDescent="0.25">
      <c r="A19" s="1"/>
      <c r="B19" s="118" t="s">
        <v>125</v>
      </c>
      <c r="C19" s="119"/>
      <c r="D19" s="120"/>
      <c r="E19" s="12">
        <f>SUM(E16:E18)*(1+'Fane 15. Nøgletal'!C16)^3</f>
        <v>0</v>
      </c>
      <c r="F19" s="13" t="s">
        <v>3</v>
      </c>
      <c r="G19" s="1"/>
    </row>
    <row r="20" spans="1:7" x14ac:dyDescent="0.25">
      <c r="A20" s="1"/>
      <c r="B20" s="1"/>
      <c r="C20" s="1"/>
      <c r="D20" s="1"/>
      <c r="E20" s="1"/>
      <c r="F20" s="1"/>
      <c r="G20" s="1"/>
    </row>
    <row r="21" spans="1:7" ht="15" customHeight="1" x14ac:dyDescent="0.25">
      <c r="A21" s="1"/>
      <c r="B21" s="118" t="s">
        <v>145</v>
      </c>
      <c r="C21" s="119"/>
      <c r="D21" s="119"/>
      <c r="E21" s="119"/>
      <c r="F21" s="120"/>
      <c r="G21" s="1"/>
    </row>
    <row r="22" spans="1:7" x14ac:dyDescent="0.25">
      <c r="A22" s="1"/>
      <c r="B22" s="145" t="s">
        <v>236</v>
      </c>
      <c r="C22" s="146"/>
      <c r="D22" s="147"/>
      <c r="E22" s="9">
        <v>0</v>
      </c>
      <c r="F22" s="14" t="s">
        <v>3</v>
      </c>
      <c r="G22" s="1"/>
    </row>
    <row r="23" spans="1:7" x14ac:dyDescent="0.25">
      <c r="A23" s="1"/>
      <c r="B23" s="154" t="s">
        <v>10</v>
      </c>
      <c r="C23" s="155"/>
      <c r="D23" s="156"/>
      <c r="E23" s="9">
        <f>-E22*'Fane 5. Individuelt eff. krav'!G9</f>
        <v>0</v>
      </c>
      <c r="F23" s="14" t="s">
        <v>3</v>
      </c>
      <c r="G23" s="1"/>
    </row>
    <row r="24" spans="1:7" x14ac:dyDescent="0.25">
      <c r="A24" s="1"/>
      <c r="B24" s="154" t="s">
        <v>23</v>
      </c>
      <c r="C24" s="155"/>
      <c r="D24" s="156"/>
      <c r="E24" s="9">
        <f>-E22*'Fane 15. Nøgletal'!C33</f>
        <v>0</v>
      </c>
      <c r="F24" s="14" t="s">
        <v>3</v>
      </c>
      <c r="G24" s="1"/>
    </row>
    <row r="25" spans="1:7" x14ac:dyDescent="0.25">
      <c r="A25" s="1"/>
      <c r="B25" s="118" t="s">
        <v>146</v>
      </c>
      <c r="C25" s="119"/>
      <c r="D25" s="120"/>
      <c r="E25" s="12">
        <f>SUM(E22:E24)*(1+'Fane 15. Nøgletal'!C16)^4</f>
        <v>0</v>
      </c>
      <c r="F25" s="13" t="s">
        <v>3</v>
      </c>
      <c r="G25" s="1"/>
    </row>
    <row r="26" spans="1:7" x14ac:dyDescent="0.25">
      <c r="A26" s="1"/>
      <c r="B26" s="1"/>
      <c r="C26" s="1"/>
      <c r="D26" s="1"/>
      <c r="E26" s="1"/>
      <c r="F26" s="1"/>
      <c r="G26" s="1"/>
    </row>
    <row r="27" spans="1:7" ht="15" customHeight="1" x14ac:dyDescent="0.25">
      <c r="A27" s="1"/>
      <c r="B27" s="118" t="s">
        <v>237</v>
      </c>
      <c r="C27" s="119"/>
      <c r="D27" s="119"/>
      <c r="E27" s="119"/>
      <c r="F27" s="120"/>
      <c r="G27" s="1"/>
    </row>
    <row r="28" spans="1:7" ht="14.25" customHeight="1" x14ac:dyDescent="0.25">
      <c r="A28" s="1"/>
      <c r="B28" s="145" t="s">
        <v>236</v>
      </c>
      <c r="C28" s="146"/>
      <c r="D28" s="147"/>
      <c r="E28" s="9">
        <v>0</v>
      </c>
      <c r="F28" s="14" t="s">
        <v>3</v>
      </c>
      <c r="G28" s="1"/>
    </row>
    <row r="29" spans="1:7" x14ac:dyDescent="0.25">
      <c r="A29" s="1"/>
      <c r="B29" s="154" t="s">
        <v>10</v>
      </c>
      <c r="C29" s="155"/>
      <c r="D29" s="156"/>
      <c r="E29" s="9">
        <f>-E28*'Fane 5. Individuelt eff. krav'!G9</f>
        <v>0</v>
      </c>
      <c r="F29" s="14" t="s">
        <v>3</v>
      </c>
      <c r="G29" s="1"/>
    </row>
    <row r="30" spans="1:7" x14ac:dyDescent="0.25">
      <c r="A30" s="1"/>
      <c r="B30" s="154" t="s">
        <v>23</v>
      </c>
      <c r="C30" s="155"/>
      <c r="D30" s="156"/>
      <c r="E30" s="9">
        <f>-E28*'Fane 15. Nøgletal'!C33</f>
        <v>0</v>
      </c>
      <c r="F30" s="14" t="s">
        <v>3</v>
      </c>
      <c r="G30" s="1"/>
    </row>
    <row r="31" spans="1:7" x14ac:dyDescent="0.25">
      <c r="A31" s="1"/>
      <c r="B31" s="118" t="s">
        <v>238</v>
      </c>
      <c r="C31" s="119"/>
      <c r="D31" s="120"/>
      <c r="E31" s="12">
        <f>SUM(E28:E30)*(1+'Fane 15. Nøgletal'!C16)^5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I/qr/zUT1VfZB3L0bVRuQ3QXk/8Y/Eopi3JSPUaAdPwjR9gJXIAKPLkrvNeb1P8gmG/vMTXBqVR9HePEYElPsA==" saltValue="MQd3w0oscfN2ZjbQcmcGOQ==" spinCount="100000" sheet="1" objects="1" scenarios="1"/>
  <mergeCells count="21">
    <mergeCell ref="B27:F27"/>
    <mergeCell ref="B28:D28"/>
    <mergeCell ref="B29:D29"/>
    <mergeCell ref="B30:D30"/>
    <mergeCell ref="B31:D31"/>
    <mergeCell ref="B25:D25"/>
    <mergeCell ref="B21:F21"/>
    <mergeCell ref="B22:D22"/>
    <mergeCell ref="B19:D19"/>
    <mergeCell ref="B16:D16"/>
    <mergeCell ref="B17:D17"/>
    <mergeCell ref="B18:D18"/>
    <mergeCell ref="B23:D23"/>
    <mergeCell ref="B24:D24"/>
    <mergeCell ref="B3:F5"/>
    <mergeCell ref="B13:D13"/>
    <mergeCell ref="B15:F15"/>
    <mergeCell ref="B9:F9"/>
    <mergeCell ref="B10:D10"/>
    <mergeCell ref="B11:D11"/>
    <mergeCell ref="B12:D1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view="pageLayout" zoomScaleNormal="100" workbookViewId="0"/>
  </sheetViews>
  <sheetFormatPr defaultColWidth="9.140625" defaultRowHeight="15" x14ac:dyDescent="0.25"/>
  <cols>
    <col min="1" max="1" width="5.42578125" style="2" customWidth="1"/>
    <col min="2" max="2" width="36.42578125" style="2" customWidth="1"/>
    <col min="3" max="3" width="15.5703125" style="2" customWidth="1"/>
    <col min="4" max="4" width="3.28515625" style="2" customWidth="1"/>
    <col min="5" max="5" width="17.1406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6" t="s">
        <v>186</v>
      </c>
      <c r="C3" s="116"/>
      <c r="D3" s="116"/>
      <c r="E3" s="116"/>
      <c r="F3" s="116"/>
      <c r="G3" s="1"/>
    </row>
    <row r="4" spans="1:7" ht="25.5" customHeight="1" x14ac:dyDescent="0.25">
      <c r="A4" s="1"/>
      <c r="B4" s="116"/>
      <c r="C4" s="116"/>
      <c r="D4" s="116"/>
      <c r="E4" s="116"/>
      <c r="F4" s="116"/>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8" t="s">
        <v>112</v>
      </c>
      <c r="C8" s="119"/>
      <c r="D8" s="119"/>
      <c r="E8" s="119"/>
      <c r="F8" s="120"/>
      <c r="G8" s="1"/>
    </row>
    <row r="9" spans="1:7" ht="15" customHeight="1" x14ac:dyDescent="0.25">
      <c r="A9" s="1"/>
      <c r="B9" s="31" t="s">
        <v>113</v>
      </c>
      <c r="C9" s="31" t="s">
        <v>11</v>
      </c>
      <c r="D9" s="32"/>
      <c r="E9" s="31" t="s">
        <v>28</v>
      </c>
      <c r="F9" s="32"/>
      <c r="G9" s="1"/>
    </row>
    <row r="10" spans="1:7" ht="26.25" x14ac:dyDescent="0.25">
      <c r="A10" s="1"/>
      <c r="B10" s="71" t="s">
        <v>269</v>
      </c>
      <c r="C10" s="9">
        <v>0</v>
      </c>
      <c r="D10" s="14" t="s">
        <v>3</v>
      </c>
      <c r="E10" s="9">
        <v>0</v>
      </c>
      <c r="F10" s="14" t="s">
        <v>3</v>
      </c>
      <c r="G10" s="1"/>
    </row>
    <row r="11" spans="1:7" x14ac:dyDescent="0.25">
      <c r="A11" s="1"/>
      <c r="B11" s="24"/>
      <c r="C11" s="9"/>
      <c r="D11" s="14" t="s">
        <v>3</v>
      </c>
      <c r="E11" s="9"/>
      <c r="F11" s="14" t="s">
        <v>3</v>
      </c>
      <c r="G11" s="1"/>
    </row>
    <row r="12" spans="1:7" x14ac:dyDescent="0.25">
      <c r="A12" s="1"/>
      <c r="B12" s="24"/>
      <c r="C12" s="9"/>
      <c r="D12" s="14" t="s">
        <v>3</v>
      </c>
      <c r="E12" s="9"/>
      <c r="F12" s="14" t="s">
        <v>3</v>
      </c>
      <c r="G12" s="1"/>
    </row>
    <row r="13" spans="1:7" ht="28.5" customHeight="1" x14ac:dyDescent="0.25">
      <c r="A13" s="1"/>
      <c r="B13" s="20" t="s">
        <v>148</v>
      </c>
      <c r="C13" s="12">
        <f>SUM(C10:C12)</f>
        <v>0</v>
      </c>
      <c r="D13" s="13" t="s">
        <v>3</v>
      </c>
      <c r="E13" s="12">
        <f>SUM(E10:E12)</f>
        <v>0</v>
      </c>
      <c r="F13" s="13" t="s">
        <v>3</v>
      </c>
      <c r="G13" s="1"/>
    </row>
    <row r="14" spans="1:7" ht="27" customHeight="1" x14ac:dyDescent="0.25">
      <c r="A14" s="1"/>
      <c r="B14" s="20" t="s">
        <v>239</v>
      </c>
      <c r="C14" s="12">
        <f>C13*(1+'Fane 15. Nøgletal'!C16)</f>
        <v>0</v>
      </c>
      <c r="D14" s="13" t="s">
        <v>3</v>
      </c>
      <c r="E14" s="12">
        <f>E13*(1+'Fane 15.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FwvOoTXWLfaQlfNgeGCJW1b7ZpraJNB+ncBLr6LZudaHHgoyP98hnzj3+neU3eEtmohT6G0IpF2Lg7MhEGDYNQ==" saltValue="tmifGqfrsvaiU5LdKx4EVg=="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8"/>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5.710937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6" t="s">
        <v>187</v>
      </c>
      <c r="C3" s="116"/>
      <c r="D3" s="116"/>
      <c r="E3" s="116"/>
      <c r="F3" s="116"/>
      <c r="G3" s="1"/>
    </row>
    <row r="4" spans="1:7" ht="25.5" customHeight="1" x14ac:dyDescent="0.25">
      <c r="A4" s="1"/>
      <c r="B4" s="116"/>
      <c r="C4" s="116"/>
      <c r="D4" s="116"/>
      <c r="E4" s="116"/>
      <c r="F4" s="116"/>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8" t="s">
        <v>240</v>
      </c>
      <c r="C9" s="119"/>
      <c r="D9" s="119"/>
      <c r="E9" s="119"/>
      <c r="F9" s="120"/>
      <c r="G9" s="1"/>
    </row>
    <row r="10" spans="1:7" ht="26.25" customHeight="1" x14ac:dyDescent="0.25">
      <c r="A10" s="1"/>
      <c r="B10" s="31" t="s">
        <v>18</v>
      </c>
      <c r="C10" s="148" t="s">
        <v>11</v>
      </c>
      <c r="D10" s="150"/>
      <c r="E10" s="148" t="s">
        <v>28</v>
      </c>
      <c r="F10" s="150"/>
      <c r="G10" s="1"/>
    </row>
    <row r="11" spans="1:7" x14ac:dyDescent="0.25">
      <c r="A11" s="1"/>
      <c r="B11" s="71" t="s">
        <v>270</v>
      </c>
      <c r="C11" s="9">
        <v>0</v>
      </c>
      <c r="D11" s="14" t="s">
        <v>3</v>
      </c>
      <c r="E11" s="9">
        <v>0</v>
      </c>
      <c r="F11" s="14" t="s">
        <v>3</v>
      </c>
      <c r="G11" s="1"/>
    </row>
    <row r="12" spans="1:7" x14ac:dyDescent="0.25">
      <c r="A12" s="1"/>
      <c r="B12" s="33" t="s">
        <v>77</v>
      </c>
      <c r="C12" s="12">
        <f>SUM(C11:C11)</f>
        <v>0</v>
      </c>
      <c r="D12" s="13" t="s">
        <v>3</v>
      </c>
      <c r="E12" s="12">
        <f>SUM(E11:E11)</f>
        <v>0</v>
      </c>
      <c r="F12" s="13" t="s">
        <v>3</v>
      </c>
      <c r="G12" s="1"/>
    </row>
    <row r="13" spans="1:7" x14ac:dyDescent="0.25">
      <c r="A13" s="1"/>
      <c r="B13" s="33" t="s">
        <v>241</v>
      </c>
      <c r="C13" s="12">
        <f>C12*(1+'Fane 15. Nøgletal'!C16)</f>
        <v>0</v>
      </c>
      <c r="D13" s="13" t="s">
        <v>3</v>
      </c>
      <c r="E13" s="12">
        <f>E12*(1+'Fane 15. Nøgletal'!C16)</f>
        <v>0</v>
      </c>
      <c r="F13" s="13" t="s">
        <v>3</v>
      </c>
      <c r="G13" s="1"/>
    </row>
    <row r="14" spans="1:7" x14ac:dyDescent="0.25">
      <c r="A14" s="1"/>
      <c r="B14" s="1"/>
      <c r="C14" s="1"/>
      <c r="D14" s="1"/>
      <c r="E14" s="1"/>
      <c r="F14" s="1"/>
      <c r="G14" s="1"/>
    </row>
    <row r="15" spans="1:7" x14ac:dyDescent="0.25">
      <c r="A15" s="1"/>
      <c r="B15" s="153"/>
      <c r="C15" s="153"/>
      <c r="D15" s="153"/>
      <c r="E15" s="153"/>
      <c r="F15" s="153"/>
      <c r="G15" s="1"/>
    </row>
    <row r="16" spans="1:7" x14ac:dyDescent="0.25">
      <c r="A16" s="1"/>
      <c r="B16" s="53"/>
      <c r="C16" s="53"/>
      <c r="D16" s="53"/>
      <c r="E16" s="53"/>
      <c r="F16" s="53"/>
      <c r="G16" s="1"/>
    </row>
    <row r="17" spans="1:7" x14ac:dyDescent="0.25">
      <c r="A17" s="1"/>
      <c r="B17" s="54"/>
      <c r="C17" s="57"/>
      <c r="D17" s="56"/>
      <c r="E17" s="57"/>
      <c r="F17" s="56"/>
      <c r="G17" s="1"/>
    </row>
    <row r="18" spans="1:7" x14ac:dyDescent="0.25">
      <c r="A18" s="1"/>
      <c r="B18" s="58"/>
      <c r="C18" s="59"/>
      <c r="D18" s="60"/>
      <c r="E18" s="59"/>
      <c r="F18" s="60"/>
      <c r="G18" s="1"/>
    </row>
    <row r="19" spans="1:7" x14ac:dyDescent="0.25">
      <c r="A19" s="1"/>
      <c r="B19" s="58"/>
      <c r="C19" s="59"/>
      <c r="D19" s="60"/>
      <c r="E19" s="59"/>
      <c r="F19" s="60"/>
      <c r="G19" s="1"/>
    </row>
    <row r="20" spans="1:7" x14ac:dyDescent="0.25">
      <c r="A20" s="1"/>
      <c r="B20" s="51"/>
      <c r="C20" s="51"/>
      <c r="D20" s="51"/>
      <c r="E20" s="51"/>
      <c r="F20" s="51"/>
      <c r="G20" s="1"/>
    </row>
    <row r="21" spans="1:7" x14ac:dyDescent="0.25">
      <c r="A21" s="1"/>
      <c r="B21" s="153"/>
      <c r="C21" s="153"/>
      <c r="D21" s="153"/>
      <c r="E21" s="153"/>
      <c r="F21" s="153"/>
      <c r="G21" s="1"/>
    </row>
    <row r="22" spans="1:7" x14ac:dyDescent="0.25">
      <c r="A22" s="1"/>
      <c r="B22" s="53"/>
      <c r="C22" s="53"/>
      <c r="D22" s="53"/>
      <c r="E22" s="53"/>
      <c r="F22" s="53"/>
      <c r="G22" s="1"/>
    </row>
    <row r="23" spans="1:7" x14ac:dyDescent="0.25">
      <c r="A23" s="1"/>
      <c r="B23" s="54"/>
      <c r="C23" s="57"/>
      <c r="D23" s="56"/>
      <c r="E23" s="57"/>
      <c r="F23" s="56"/>
      <c r="G23" s="1"/>
    </row>
    <row r="24" spans="1:7" x14ac:dyDescent="0.25">
      <c r="A24" s="1"/>
      <c r="B24" s="58"/>
      <c r="C24" s="59"/>
      <c r="D24" s="60"/>
      <c r="E24" s="59"/>
      <c r="F24" s="60"/>
      <c r="G24" s="1"/>
    </row>
    <row r="25" spans="1:7" x14ac:dyDescent="0.25">
      <c r="A25" s="1"/>
      <c r="B25" s="58"/>
      <c r="C25" s="59"/>
      <c r="D25" s="60"/>
      <c r="E25" s="59"/>
      <c r="F25" s="60"/>
      <c r="G25" s="1"/>
    </row>
    <row r="26" spans="1:7" x14ac:dyDescent="0.25">
      <c r="A26" s="1"/>
      <c r="B26" s="51"/>
      <c r="C26" s="51"/>
      <c r="D26" s="51"/>
      <c r="E26" s="51"/>
      <c r="F26" s="51"/>
      <c r="G26" s="1"/>
    </row>
    <row r="27" spans="1:7" x14ac:dyDescent="0.25">
      <c r="A27" s="1"/>
      <c r="B27" s="153"/>
      <c r="C27" s="153"/>
      <c r="D27" s="153"/>
      <c r="E27" s="153"/>
      <c r="F27" s="153"/>
      <c r="G27" s="1"/>
    </row>
    <row r="28" spans="1:7" x14ac:dyDescent="0.25">
      <c r="A28" s="1"/>
      <c r="B28" s="53"/>
      <c r="C28" s="53"/>
      <c r="D28" s="53"/>
      <c r="E28" s="53"/>
      <c r="F28" s="53"/>
      <c r="G28" s="1"/>
    </row>
    <row r="29" spans="1:7" x14ac:dyDescent="0.25">
      <c r="A29" s="1"/>
      <c r="B29" s="54"/>
      <c r="C29" s="57"/>
      <c r="D29" s="56"/>
      <c r="E29" s="57"/>
      <c r="F29" s="56"/>
      <c r="G29" s="1"/>
    </row>
    <row r="30" spans="1:7" x14ac:dyDescent="0.25">
      <c r="A30" s="1"/>
      <c r="B30" s="58"/>
      <c r="C30" s="59"/>
      <c r="D30" s="60"/>
      <c r="E30" s="59"/>
      <c r="F30" s="60"/>
      <c r="G30" s="1"/>
    </row>
    <row r="31" spans="1:7" x14ac:dyDescent="0.25">
      <c r="A31" s="1"/>
      <c r="B31" s="58"/>
      <c r="C31" s="59"/>
      <c r="D31" s="60"/>
      <c r="E31" s="59"/>
      <c r="F31" s="60"/>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VrRJv4pcPeIAizRN2Qw3xICPzYHtUDoedvlByLliHbkVcwxMmfhEBIw4rmP0wwzmkDO6bfSE40D+tIa5uHKcvw==" saltValue="QjAKMTgk6y5dIQBqGrSpRA==" spinCount="100000" sheet="1" objects="1" scenarios="1"/>
  <mergeCells count="7">
    <mergeCell ref="B27:F27"/>
    <mergeCell ref="B3:F4"/>
    <mergeCell ref="B9:F9"/>
    <mergeCell ref="B15:F15"/>
    <mergeCell ref="B21:F21"/>
    <mergeCell ref="E10:F10"/>
    <mergeCell ref="C10:D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8"/>
  <sheetViews>
    <sheetView showGridLines="0" view="pageLayout" zoomScaleNormal="100"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4" t="s">
        <v>201</v>
      </c>
      <c r="C3" s="114"/>
      <c r="D3" s="114"/>
      <c r="E3" s="1"/>
    </row>
    <row r="4" spans="1:5" ht="15" customHeight="1" x14ac:dyDescent="0.25">
      <c r="A4" s="1"/>
      <c r="B4" s="114"/>
      <c r="C4" s="114"/>
      <c r="D4" s="114"/>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107</v>
      </c>
      <c r="C9" s="7">
        <f>'Fane 3. Omkostninger i ØR2023'!C20</f>
        <v>307252700.5503552</v>
      </c>
      <c r="D9" s="8" t="s">
        <v>3</v>
      </c>
      <c r="E9" s="1"/>
    </row>
    <row r="10" spans="1:5" ht="17.25" customHeight="1" x14ac:dyDescent="0.25">
      <c r="A10" s="1"/>
      <c r="B10" s="92" t="s">
        <v>36</v>
      </c>
      <c r="C10" s="7">
        <f>'Fane 11.1. Varige tillæg'!C20</f>
        <v>0</v>
      </c>
      <c r="D10" s="8" t="s">
        <v>3</v>
      </c>
      <c r="E10" s="1"/>
    </row>
    <row r="11" spans="1:5" ht="17.25" customHeight="1" x14ac:dyDescent="0.25">
      <c r="A11" s="1"/>
      <c r="B11" s="92" t="s">
        <v>37</v>
      </c>
      <c r="C11" s="9">
        <f>'Fane 11.1. Varige tillæg'!E20</f>
        <v>0</v>
      </c>
      <c r="D11" s="8" t="s">
        <v>3</v>
      </c>
      <c r="E11" s="1"/>
    </row>
    <row r="12" spans="1:5" ht="17.25" customHeight="1" x14ac:dyDescent="0.25">
      <c r="A12" s="1"/>
      <c r="B12" s="92" t="s">
        <v>26</v>
      </c>
      <c r="C12" s="9">
        <f>-'Fane 14. Bortfald'!C13</f>
        <v>0</v>
      </c>
      <c r="D12" s="8" t="s">
        <v>3</v>
      </c>
      <c r="E12" s="1"/>
    </row>
    <row r="13" spans="1:5" ht="17.25" customHeight="1" x14ac:dyDescent="0.25">
      <c r="A13" s="1"/>
      <c r="B13" s="92" t="s">
        <v>25</v>
      </c>
      <c r="C13" s="9">
        <f>-'Fane 14. Bortfald'!E13</f>
        <v>0</v>
      </c>
      <c r="D13" s="8" t="s">
        <v>3</v>
      </c>
      <c r="E13" s="1"/>
    </row>
    <row r="14" spans="1:5" ht="17.25" customHeight="1" x14ac:dyDescent="0.25">
      <c r="A14" s="1"/>
      <c r="B14" s="92" t="s">
        <v>105</v>
      </c>
      <c r="C14" s="9">
        <f>'Fane 13. Tilknyttet virksomhed'!C14</f>
        <v>0</v>
      </c>
      <c r="D14" s="8" t="s">
        <v>3</v>
      </c>
      <c r="E14" s="1"/>
    </row>
    <row r="15" spans="1:5" ht="17.25" customHeight="1" x14ac:dyDescent="0.25">
      <c r="A15" s="1"/>
      <c r="B15" s="92" t="s">
        <v>106</v>
      </c>
      <c r="C15" s="9">
        <f>'Fane 13. Tilknyttet virksomhed'!E14</f>
        <v>0</v>
      </c>
      <c r="D15" s="8" t="s">
        <v>3</v>
      </c>
      <c r="E15" s="1"/>
    </row>
    <row r="16" spans="1:5" ht="17.25" customHeight="1" x14ac:dyDescent="0.25">
      <c r="A16" s="1"/>
      <c r="B16" s="92" t="s">
        <v>19</v>
      </c>
      <c r="C16" s="41">
        <f>SUM(C9)*'Fane 15. Nøgletal'!C16+SUM(C10:C15)*'Fane 15. Nøgletal'!C16</f>
        <v>24826018.204468697</v>
      </c>
      <c r="D16" s="8" t="s">
        <v>3</v>
      </c>
      <c r="E16" s="1"/>
    </row>
    <row r="17" spans="1:5" ht="17.25" customHeight="1" x14ac:dyDescent="0.25">
      <c r="A17" s="1"/>
      <c r="B17" s="92" t="s">
        <v>10</v>
      </c>
      <c r="C17" s="41">
        <f>-SUM(C9,C10:C16)*'Fane 5. Individuelt eff. krav'!G9</f>
        <v>-1981879.6048412616</v>
      </c>
      <c r="D17" s="8" t="s">
        <v>3</v>
      </c>
      <c r="E17" s="1"/>
    </row>
    <row r="18" spans="1:5" ht="17.25" customHeight="1" x14ac:dyDescent="0.25">
      <c r="A18" s="1"/>
      <c r="B18" s="92" t="s">
        <v>23</v>
      </c>
      <c r="C18" s="41">
        <f>-'Fane 4.1. Gen. krav - drift'!G54</f>
        <v>-3400988.4685033513</v>
      </c>
      <c r="D18" s="8" t="s">
        <v>3</v>
      </c>
      <c r="E18" s="1"/>
    </row>
    <row r="19" spans="1:5" ht="17.25" customHeight="1" x14ac:dyDescent="0.25">
      <c r="A19" s="1"/>
      <c r="B19" s="92" t="s">
        <v>24</v>
      </c>
      <c r="C19" s="41">
        <f>-'Fane 4.2. Gen. krav - anlæg'!G55</f>
        <v>0</v>
      </c>
      <c r="D19" s="8" t="s">
        <v>3</v>
      </c>
      <c r="E19" s="47"/>
    </row>
    <row r="20" spans="1:5" ht="17.25" customHeight="1" x14ac:dyDescent="0.25">
      <c r="A20" s="1"/>
      <c r="B20" s="86" t="s">
        <v>21</v>
      </c>
      <c r="C20" s="10">
        <f>SUM(C9:C19)</f>
        <v>326695850.68147933</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48552812.519559041</v>
      </c>
      <c r="D22" s="11" t="s">
        <v>3</v>
      </c>
      <c r="E22" s="1"/>
    </row>
    <row r="23" spans="1:5" ht="15" customHeight="1" x14ac:dyDescent="0.25">
      <c r="A23" s="1"/>
      <c r="B23" s="33" t="s">
        <v>74</v>
      </c>
      <c r="C23" s="28"/>
      <c r="D23" s="19"/>
      <c r="E23" s="1"/>
    </row>
    <row r="24" spans="1:5" ht="15" customHeight="1" x14ac:dyDescent="0.25">
      <c r="A24" s="1"/>
      <c r="B24" s="86" t="s">
        <v>74</v>
      </c>
      <c r="C24" s="10">
        <f>'Fane 12. Periodevise driftsomk.'!E13</f>
        <v>0</v>
      </c>
      <c r="D24" s="11" t="s">
        <v>3</v>
      </c>
      <c r="E24" s="1"/>
    </row>
    <row r="25" spans="1:5" ht="15" customHeight="1" x14ac:dyDescent="0.25">
      <c r="A25" s="1"/>
      <c r="B25" s="44" t="s">
        <v>73</v>
      </c>
      <c r="C25" s="42"/>
      <c r="D25" s="43"/>
      <c r="E25" s="1"/>
    </row>
    <row r="26" spans="1:5" ht="15" customHeight="1" x14ac:dyDescent="0.25">
      <c r="A26" s="1"/>
      <c r="B26" s="92" t="s">
        <v>158</v>
      </c>
      <c r="C26" s="75">
        <f>'Fane 11.2. Engangstillæg'!C14</f>
        <v>755584.15259711992</v>
      </c>
      <c r="D26" s="8" t="s">
        <v>3</v>
      </c>
      <c r="E26" s="1"/>
    </row>
    <row r="27" spans="1:5" ht="15" customHeight="1" x14ac:dyDescent="0.25">
      <c r="A27" s="1"/>
      <c r="B27" s="92" t="s">
        <v>70</v>
      </c>
      <c r="C27" s="75">
        <f>'Fane 11.2. Engangstillæg'!E14</f>
        <v>0</v>
      </c>
      <c r="D27" s="8" t="s">
        <v>3</v>
      </c>
      <c r="E27" s="1"/>
    </row>
    <row r="28" spans="1:5" ht="15" customHeight="1" x14ac:dyDescent="0.25">
      <c r="A28" s="1"/>
      <c r="B28" s="92" t="s">
        <v>161</v>
      </c>
      <c r="C28" s="75">
        <f>-C26*('Fane 15. Nøgletal'!C33+'Fane 5. Individuelt eff. krav'!G9)</f>
        <v>-19621.086206075553</v>
      </c>
      <c r="D28" s="8" t="s">
        <v>3</v>
      </c>
      <c r="E28" s="1"/>
    </row>
    <row r="29" spans="1:5" ht="15" customHeight="1" x14ac:dyDescent="0.25">
      <c r="A29" s="1"/>
      <c r="B29" s="92" t="s">
        <v>162</v>
      </c>
      <c r="C29" s="75">
        <f>-C27*('Fane 15. Nøgletal'!C28+'Fane 5. Individuelt eff. krav'!G9)</f>
        <v>0</v>
      </c>
      <c r="D29" s="8" t="s">
        <v>3</v>
      </c>
      <c r="E29" s="1"/>
    </row>
    <row r="30" spans="1:5" ht="15" customHeight="1" x14ac:dyDescent="0.25">
      <c r="A30" s="1"/>
      <c r="B30" s="70" t="s">
        <v>75</v>
      </c>
      <c r="C30" s="10">
        <f>SUM(C26:C29)</f>
        <v>735963.06639104441</v>
      </c>
      <c r="D30" s="11" t="s">
        <v>3</v>
      </c>
      <c r="E30" s="1"/>
    </row>
    <row r="31" spans="1:5" x14ac:dyDescent="0.25">
      <c r="A31" s="1"/>
      <c r="B31" s="33" t="s">
        <v>116</v>
      </c>
      <c r="C31" s="28"/>
      <c r="D31" s="19"/>
      <c r="E31" s="1"/>
    </row>
    <row r="32" spans="1:5" x14ac:dyDescent="0.25">
      <c r="A32" s="1"/>
      <c r="B32" s="31" t="s">
        <v>138</v>
      </c>
      <c r="C32" s="10">
        <f>'Fane 7. Kontrol af ØR2022'!E31</f>
        <v>-13983580.805383205</v>
      </c>
      <c r="D32" s="11" t="s">
        <v>3</v>
      </c>
      <c r="E32" s="1"/>
    </row>
    <row r="33" spans="1:5" ht="15" customHeight="1" x14ac:dyDescent="0.25">
      <c r="A33" s="1"/>
      <c r="B33" s="33" t="s">
        <v>200</v>
      </c>
      <c r="C33" s="28"/>
      <c r="D33" s="19"/>
      <c r="E33" s="1"/>
    </row>
    <row r="34" spans="1:5" x14ac:dyDescent="0.25">
      <c r="A34" s="1"/>
      <c r="B34" s="31" t="s">
        <v>200</v>
      </c>
      <c r="C34" s="10">
        <f>'Fane 9. Korrektion af ØR2022'!E17</f>
        <v>0</v>
      </c>
      <c r="D34" s="11" t="s">
        <v>3</v>
      </c>
      <c r="E34" s="1"/>
    </row>
    <row r="35" spans="1:5" x14ac:dyDescent="0.25">
      <c r="A35" s="1"/>
      <c r="B35" s="30" t="s">
        <v>135</v>
      </c>
      <c r="C35" s="28"/>
      <c r="D35" s="19"/>
      <c r="E35" s="1"/>
    </row>
    <row r="36" spans="1:5" x14ac:dyDescent="0.25">
      <c r="A36" s="1"/>
      <c r="B36" s="70" t="s">
        <v>136</v>
      </c>
      <c r="C36" s="10">
        <f>'Fane 8. Skattesagen'!G13</f>
        <v>0</v>
      </c>
      <c r="D36" s="11" t="s">
        <v>3</v>
      </c>
      <c r="E36" s="1"/>
    </row>
    <row r="37" spans="1:5" x14ac:dyDescent="0.25">
      <c r="A37" s="1"/>
      <c r="B37" s="30" t="s">
        <v>291</v>
      </c>
      <c r="C37" s="28"/>
      <c r="D37" s="19"/>
      <c r="E37" s="1"/>
    </row>
    <row r="38" spans="1:5" x14ac:dyDescent="0.25">
      <c r="A38" s="1"/>
      <c r="B38" s="70" t="s">
        <v>292</v>
      </c>
      <c r="C38" s="10">
        <v>28947193.449454974</v>
      </c>
      <c r="D38" s="11" t="s">
        <v>3</v>
      </c>
      <c r="E38" s="1"/>
    </row>
    <row r="39" spans="1:5" x14ac:dyDescent="0.25">
      <c r="A39" s="1"/>
      <c r="B39" s="33" t="s">
        <v>108</v>
      </c>
      <c r="C39" s="49">
        <f>SUM(C34,C32,C24,C30,C22,C20,C36,C38)</f>
        <v>390948238.91150117</v>
      </c>
      <c r="D39" s="30" t="s">
        <v>3</v>
      </c>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iMFxDMt0PrKwJs2Cr17GxulSjuUGfbf4gW6lfp21plKPPFDwL3nRUDdwp80qe+gir4Kg24S/tfMte287lJT/5Q==" saltValue="N1JDTnqzRe5+cjKD/ynwxA=="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16" t="s">
        <v>188</v>
      </c>
      <c r="C3" s="116"/>
      <c r="D3" s="1"/>
    </row>
    <row r="4" spans="1:4" ht="25.5" customHeight="1" x14ac:dyDescent="0.25">
      <c r="A4" s="1"/>
      <c r="B4" s="116"/>
      <c r="C4" s="116"/>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85" t="s">
        <v>94</v>
      </c>
      <c r="C9" s="25">
        <v>1.2699999999999999E-2</v>
      </c>
      <c r="D9" s="1"/>
    </row>
    <row r="10" spans="1:4" x14ac:dyDescent="0.25">
      <c r="A10" s="1"/>
      <c r="B10" s="85" t="s">
        <v>95</v>
      </c>
      <c r="C10" s="25">
        <v>1.7500000000000002E-2</v>
      </c>
      <c r="D10" s="1"/>
    </row>
    <row r="11" spans="1:4" x14ac:dyDescent="0.25">
      <c r="A11" s="1"/>
      <c r="B11" s="85" t="s">
        <v>22</v>
      </c>
      <c r="C11" s="25">
        <v>1.6899999999999998E-2</v>
      </c>
      <c r="D11" s="1"/>
    </row>
    <row r="12" spans="1:4" x14ac:dyDescent="0.25">
      <c r="A12" s="1"/>
      <c r="B12" s="34" t="s">
        <v>134</v>
      </c>
      <c r="C12" s="35">
        <v>1.9699999999999999E-2</v>
      </c>
      <c r="D12" s="1"/>
    </row>
    <row r="13" spans="1:4" x14ac:dyDescent="0.25">
      <c r="A13" s="1"/>
      <c r="B13" s="34" t="s">
        <v>115</v>
      </c>
      <c r="C13" s="35">
        <v>1.2200000000000001E-2</v>
      </c>
      <c r="D13" s="1"/>
    </row>
    <row r="14" spans="1:4" x14ac:dyDescent="0.25">
      <c r="A14" s="1"/>
      <c r="B14" s="85" t="s">
        <v>133</v>
      </c>
      <c r="C14" s="39">
        <v>3.3E-3</v>
      </c>
      <c r="D14" s="1"/>
    </row>
    <row r="15" spans="1:4" x14ac:dyDescent="0.25">
      <c r="A15" s="1"/>
      <c r="B15" s="34" t="s">
        <v>152</v>
      </c>
      <c r="C15" s="35">
        <v>3.56E-2</v>
      </c>
      <c r="D15" s="1"/>
    </row>
    <row r="16" spans="1:4" x14ac:dyDescent="0.25">
      <c r="A16" s="1"/>
      <c r="B16" s="65" t="s">
        <v>190</v>
      </c>
      <c r="C16" s="68">
        <v>8.0799999999999997E-2</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85</v>
      </c>
      <c r="C20" s="19"/>
      <c r="D20" s="1"/>
    </row>
    <row r="21" spans="1:4" x14ac:dyDescent="0.25">
      <c r="A21" s="1"/>
      <c r="B21" s="85" t="s">
        <v>96</v>
      </c>
      <c r="C21" s="22">
        <v>9.1000000000000004E-3</v>
      </c>
      <c r="D21" s="1"/>
    </row>
    <row r="22" spans="1:4" x14ac:dyDescent="0.25">
      <c r="A22" s="1"/>
      <c r="B22" s="85" t="s">
        <v>118</v>
      </c>
      <c r="C22" s="22">
        <v>1.77E-2</v>
      </c>
      <c r="D22" s="1"/>
    </row>
    <row r="23" spans="1:4" x14ac:dyDescent="0.25">
      <c r="A23" s="1"/>
      <c r="B23" s="85" t="s">
        <v>119</v>
      </c>
      <c r="C23" s="22">
        <v>8.6999999999999994E-3</v>
      </c>
      <c r="D23" s="1"/>
    </row>
    <row r="24" spans="1:4" x14ac:dyDescent="0.25">
      <c r="A24" s="1"/>
      <c r="B24" s="85" t="s">
        <v>97</v>
      </c>
      <c r="C24" s="36">
        <v>2.8400000000000002E-2</v>
      </c>
      <c r="D24" s="1"/>
    </row>
    <row r="25" spans="1:4" x14ac:dyDescent="0.25">
      <c r="A25" s="1"/>
      <c r="B25" s="85" t="s">
        <v>120</v>
      </c>
      <c r="C25" s="36">
        <v>2.75E-2</v>
      </c>
      <c r="D25" s="1"/>
    </row>
    <row r="26" spans="1:4" x14ac:dyDescent="0.25">
      <c r="A26" s="1"/>
      <c r="B26" s="85" t="s">
        <v>121</v>
      </c>
      <c r="C26" s="36">
        <v>1.4800000000000001E-2</v>
      </c>
      <c r="D26" s="1"/>
    </row>
    <row r="27" spans="1:4" x14ac:dyDescent="0.25">
      <c r="A27" s="1"/>
      <c r="B27" s="34" t="s">
        <v>147</v>
      </c>
      <c r="C27" s="64">
        <v>0</v>
      </c>
      <c r="D27" s="1"/>
    </row>
    <row r="28" spans="1:4" x14ac:dyDescent="0.25">
      <c r="A28" s="1"/>
      <c r="B28" s="65" t="s">
        <v>191</v>
      </c>
      <c r="C28" s="67">
        <v>0</v>
      </c>
      <c r="D28" s="1"/>
    </row>
    <row r="29" spans="1:4" x14ac:dyDescent="0.25">
      <c r="A29" s="1"/>
      <c r="B29" s="33"/>
      <c r="C29" s="19"/>
      <c r="D29" s="1"/>
    </row>
    <row r="30" spans="1:4" x14ac:dyDescent="0.25">
      <c r="A30" s="1"/>
      <c r="B30" s="1"/>
      <c r="C30" s="1"/>
      <c r="D30" s="1"/>
    </row>
    <row r="31" spans="1:4" x14ac:dyDescent="0.25">
      <c r="A31" s="1"/>
      <c r="B31" s="1"/>
      <c r="C31" s="1"/>
      <c r="D31" s="1"/>
    </row>
    <row r="32" spans="1:4" x14ac:dyDescent="0.25">
      <c r="A32" s="1"/>
      <c r="B32" s="33" t="s">
        <v>86</v>
      </c>
      <c r="C32" s="19"/>
      <c r="D32" s="1"/>
    </row>
    <row r="33" spans="1:4" x14ac:dyDescent="0.25">
      <c r="A33" s="1"/>
      <c r="B33" s="85" t="s">
        <v>98</v>
      </c>
      <c r="C33" s="25">
        <v>0.02</v>
      </c>
      <c r="D33" s="1"/>
    </row>
    <row r="34" spans="1:4" x14ac:dyDescent="0.25">
      <c r="A34" s="1"/>
      <c r="B34" s="33"/>
      <c r="C34" s="19"/>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8"/>
      <c r="B50" s="48"/>
      <c r="C50" s="48"/>
      <c r="D50" s="48"/>
    </row>
    <row r="51" spans="1:4" x14ac:dyDescent="0.25">
      <c r="A51" s="48"/>
      <c r="B51" s="48"/>
      <c r="C51" s="48"/>
      <c r="D51" s="48"/>
    </row>
    <row r="52" spans="1:4" x14ac:dyDescent="0.25">
      <c r="A52" s="48"/>
      <c r="B52" s="48"/>
      <c r="C52" s="48"/>
      <c r="D52" s="48"/>
    </row>
    <row r="53" spans="1:4" x14ac:dyDescent="0.25">
      <c r="A53" s="48"/>
      <c r="B53" s="48"/>
      <c r="C53" s="48"/>
      <c r="D53" s="48"/>
    </row>
  </sheetData>
  <sheetProtection algorithmName="SHA-512" hashValue="iHyvLcmnmsCOa3py1rSbPFv1ugot/0qs9/UubWp1tZ3QBsBbyMITGrYoqJR+DrnzbAs2dTU+4Rl94yUJD/Qj3w==" saltValue="Wb6XEGHi2qA9u0XdlvdP+Q=="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4" t="s">
        <v>202</v>
      </c>
      <c r="C3" s="114"/>
      <c r="D3" s="114"/>
      <c r="E3" s="1"/>
    </row>
    <row r="4" spans="1:5" ht="15" customHeight="1" x14ac:dyDescent="0.25">
      <c r="A4" s="1"/>
      <c r="B4" s="114"/>
      <c r="C4" s="114"/>
      <c r="D4" s="114"/>
      <c r="E4" s="1"/>
    </row>
    <row r="5" spans="1:5" x14ac:dyDescent="0.25">
      <c r="A5" s="1"/>
      <c r="B5" s="115"/>
      <c r="C5" s="115"/>
      <c r="D5" s="115"/>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159</v>
      </c>
      <c r="C9" s="7">
        <f>'Fane 2.1. Økonomisk ramme 2024'!C20</f>
        <v>326695850.68147933</v>
      </c>
      <c r="D9" s="8" t="s">
        <v>3</v>
      </c>
      <c r="E9" s="1"/>
    </row>
    <row r="10" spans="1:5" ht="15" customHeight="1" x14ac:dyDescent="0.25">
      <c r="A10" s="1"/>
      <c r="B10" s="26" t="s">
        <v>19</v>
      </c>
      <c r="C10" s="7">
        <f>SUM(C9:C9)*'Fane 15. Nøgletal'!C16</f>
        <v>26397024.735063531</v>
      </c>
      <c r="D10" s="8" t="s">
        <v>3</v>
      </c>
      <c r="E10" s="1"/>
    </row>
    <row r="11" spans="1:5" ht="15" customHeight="1" x14ac:dyDescent="0.25">
      <c r="A11" s="1"/>
      <c r="B11" s="26" t="s">
        <v>10</v>
      </c>
      <c r="C11" s="9">
        <f>-SUM(C9:C10)*'Fane 5. Individuelt eff. krav'!G9</f>
        <v>-2107294.2314001787</v>
      </c>
      <c r="D11" s="8" t="s">
        <v>3</v>
      </c>
      <c r="E11" s="1"/>
    </row>
    <row r="12" spans="1:5" ht="15" customHeight="1" x14ac:dyDescent="0.25">
      <c r="A12" s="1"/>
      <c r="B12" s="26" t="s">
        <v>23</v>
      </c>
      <c r="C12" s="9">
        <f>-'Fane 4.1. Gen. krav - drift'!G59</f>
        <v>-3602272.5700232536</v>
      </c>
      <c r="D12" s="8" t="s">
        <v>3</v>
      </c>
      <c r="E12" s="1"/>
    </row>
    <row r="13" spans="1:5" ht="15" customHeight="1" x14ac:dyDescent="0.25">
      <c r="A13" s="1"/>
      <c r="B13" s="26" t="s">
        <v>24</v>
      </c>
      <c r="C13" s="9">
        <f>-'Fane 4.2. Gen. krav - anlæg'!G60</f>
        <v>0</v>
      </c>
      <c r="D13" s="8" t="s">
        <v>3</v>
      </c>
      <c r="E13" s="1"/>
    </row>
    <row r="14" spans="1:5" ht="15" customHeight="1" x14ac:dyDescent="0.25">
      <c r="A14" s="1"/>
      <c r="B14" s="27" t="s">
        <v>21</v>
      </c>
      <c r="C14" s="10">
        <f>SUM(C9:C13)</f>
        <v>347383308.61511946</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Nøgletal'!C16)+'Fane 6. Ikke-påvirkelige omk.'!C26+'Fane 6. Ikke-påvirkelige omk.'!C34</f>
        <v>52475879.771139413</v>
      </c>
      <c r="D16" s="11" t="s">
        <v>3</v>
      </c>
      <c r="E16" s="1"/>
    </row>
    <row r="17" spans="1:5" ht="15" customHeight="1" x14ac:dyDescent="0.25">
      <c r="A17" s="1"/>
      <c r="B17" s="33" t="s">
        <v>74</v>
      </c>
      <c r="C17" s="28"/>
      <c r="D17" s="19"/>
      <c r="E17" s="1"/>
    </row>
    <row r="18" spans="1:5" ht="15" customHeight="1" x14ac:dyDescent="0.25">
      <c r="A18" s="1"/>
      <c r="B18" s="86" t="s">
        <v>74</v>
      </c>
      <c r="C18" s="10">
        <f>'Fane 12. Periodevise driftsomk.'!E19</f>
        <v>0</v>
      </c>
      <c r="D18" s="11" t="s">
        <v>3</v>
      </c>
      <c r="E18" s="1"/>
    </row>
    <row r="19" spans="1:5" x14ac:dyDescent="0.25">
      <c r="A19" s="1"/>
      <c r="B19" s="33" t="s">
        <v>116</v>
      </c>
      <c r="C19" s="28"/>
      <c r="D19" s="19"/>
      <c r="E19" s="1"/>
    </row>
    <row r="20" spans="1:5" ht="15" customHeight="1" x14ac:dyDescent="0.25">
      <c r="A20" s="1"/>
      <c r="B20" s="31" t="s">
        <v>138</v>
      </c>
      <c r="C20" s="10">
        <f>'Fane 7. Kontrol af ØR2022'!E31</f>
        <v>-13983580.805383205</v>
      </c>
      <c r="D20" s="11" t="s">
        <v>3</v>
      </c>
      <c r="E20" s="1"/>
    </row>
    <row r="21" spans="1:5" x14ac:dyDescent="0.25">
      <c r="A21" s="1"/>
      <c r="B21" s="30" t="s">
        <v>135</v>
      </c>
      <c r="C21" s="28"/>
      <c r="D21" s="19"/>
      <c r="E21" s="1"/>
    </row>
    <row r="22" spans="1:5" x14ac:dyDescent="0.25">
      <c r="A22" s="1"/>
      <c r="B22" s="70" t="s">
        <v>136</v>
      </c>
      <c r="C22" s="10">
        <f>'Fane 8. Skattesagen'!G14</f>
        <v>0</v>
      </c>
      <c r="D22" s="11" t="s">
        <v>3</v>
      </c>
      <c r="E22" s="1"/>
    </row>
    <row r="23" spans="1:5" x14ac:dyDescent="0.25">
      <c r="A23" s="1"/>
      <c r="B23" s="33" t="s">
        <v>122</v>
      </c>
      <c r="C23" s="12">
        <f>SUM(C14,C16,C18,C20,C22)</f>
        <v>385875607.58087564</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5fwmojGSEvnlUadt9YOLoKwi/DQUxsZV0XDJTTmbNeg0yB0droMxtc2qqK5zHqHxPBTrJfbFxpboRuLEqOEMnA==" saltValue="KbhCKsXdLEcTen/4vka9tw=="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4" t="s">
        <v>203</v>
      </c>
      <c r="C3" s="114"/>
      <c r="D3" s="114"/>
      <c r="E3" s="1"/>
    </row>
    <row r="4" spans="1:5" ht="15" customHeight="1" x14ac:dyDescent="0.25">
      <c r="A4" s="1"/>
      <c r="B4" s="114"/>
      <c r="C4" s="114"/>
      <c r="D4" s="114"/>
      <c r="E4" s="1"/>
    </row>
    <row r="5" spans="1:5" x14ac:dyDescent="0.25">
      <c r="A5" s="1"/>
      <c r="B5" s="115" t="s">
        <v>253</v>
      </c>
      <c r="C5" s="115"/>
      <c r="D5" s="115"/>
      <c r="E5" s="1"/>
    </row>
    <row r="6" spans="1:5" x14ac:dyDescent="0.25">
      <c r="A6" s="1"/>
      <c r="B6" s="77"/>
      <c r="C6" s="77"/>
      <c r="D6" s="77"/>
      <c r="E6" s="1"/>
    </row>
    <row r="7" spans="1:5" x14ac:dyDescent="0.25">
      <c r="A7" s="1"/>
      <c r="B7" s="1"/>
      <c r="C7" s="1"/>
      <c r="D7" s="1"/>
      <c r="E7" s="1"/>
    </row>
    <row r="8" spans="1:5" x14ac:dyDescent="0.25">
      <c r="A8" s="1"/>
      <c r="B8" s="33" t="s">
        <v>13</v>
      </c>
      <c r="C8" s="28"/>
      <c r="D8" s="19"/>
      <c r="E8" s="1"/>
    </row>
    <row r="9" spans="1:5" ht="15" customHeight="1" x14ac:dyDescent="0.25">
      <c r="A9" s="1"/>
      <c r="B9" s="29" t="s">
        <v>139</v>
      </c>
      <c r="C9" s="7">
        <f>'Fane 2.2. Økonomisk ramme 2025'!C14</f>
        <v>347383308.61511946</v>
      </c>
      <c r="D9" s="8" t="s">
        <v>3</v>
      </c>
      <c r="E9" s="1"/>
    </row>
    <row r="10" spans="1:5" ht="15" customHeight="1" x14ac:dyDescent="0.25">
      <c r="A10" s="1"/>
      <c r="B10" s="26" t="s">
        <v>19</v>
      </c>
      <c r="C10" s="7">
        <f>SUM(C9:C9)*'Fane 15. Nøgletal'!C16</f>
        <v>28068571.336101651</v>
      </c>
      <c r="D10" s="8" t="s">
        <v>3</v>
      </c>
      <c r="E10" s="1"/>
    </row>
    <row r="11" spans="1:5" ht="15" customHeight="1" x14ac:dyDescent="0.25">
      <c r="A11" s="1"/>
      <c r="B11" s="26" t="s">
        <v>10</v>
      </c>
      <c r="C11" s="9">
        <f>-SUM(C9:C10)*'Fane 5. Individuelt eff. krav'!G9</f>
        <v>-2240735.0469935099</v>
      </c>
      <c r="D11" s="8" t="s">
        <v>3</v>
      </c>
      <c r="E11" s="1"/>
    </row>
    <row r="12" spans="1:5" ht="15" customHeight="1" x14ac:dyDescent="0.25">
      <c r="A12" s="1"/>
      <c r="B12" s="26" t="s">
        <v>23</v>
      </c>
      <c r="C12" s="9">
        <f>-'Fane 4.1. Gen. krav - drift'!G64</f>
        <v>-3815469.4698075093</v>
      </c>
      <c r="D12" s="8" t="s">
        <v>3</v>
      </c>
      <c r="E12" s="1"/>
    </row>
    <row r="13" spans="1:5" ht="15" customHeight="1" x14ac:dyDescent="0.25">
      <c r="A13" s="1"/>
      <c r="B13" s="26" t="s">
        <v>24</v>
      </c>
      <c r="C13" s="9">
        <f>-'Fane 4.2. Gen. krav - anlæg'!G65</f>
        <v>0</v>
      </c>
      <c r="D13" s="8" t="s">
        <v>3</v>
      </c>
      <c r="E13" s="1"/>
    </row>
    <row r="14" spans="1:5" x14ac:dyDescent="0.25">
      <c r="A14" s="1"/>
      <c r="B14" s="27" t="s">
        <v>21</v>
      </c>
      <c r="C14" s="10">
        <f>SUM(C9:C13)</f>
        <v>369395675.43442011</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Nøgletal'!C16)^2+'Fane 6. Ikke-påvirkelige omk.'!C27+'Fane 6. Ikke-påvirkelige omk.'!C35</f>
        <v>56715930.856647469</v>
      </c>
      <c r="D16" s="11" t="s">
        <v>3</v>
      </c>
      <c r="E16" s="1"/>
    </row>
    <row r="17" spans="1:5" ht="15" customHeight="1" x14ac:dyDescent="0.25">
      <c r="A17" s="1"/>
      <c r="B17" s="33" t="s">
        <v>74</v>
      </c>
      <c r="C17" s="28"/>
      <c r="D17" s="19"/>
      <c r="E17" s="1"/>
    </row>
    <row r="18" spans="1:5" ht="15" customHeight="1" x14ac:dyDescent="0.25">
      <c r="A18" s="1"/>
      <c r="B18" s="86" t="s">
        <v>74</v>
      </c>
      <c r="C18" s="10">
        <f>'Fane 12. Periodevise driftsomk.'!E25</f>
        <v>0</v>
      </c>
      <c r="D18" s="11" t="s">
        <v>3</v>
      </c>
      <c r="E18" s="1"/>
    </row>
    <row r="19" spans="1:5" ht="15" customHeight="1" x14ac:dyDescent="0.25">
      <c r="A19" s="1"/>
      <c r="B19" s="33" t="s">
        <v>116</v>
      </c>
      <c r="C19" s="28"/>
      <c r="D19" s="19"/>
      <c r="E19" s="1"/>
    </row>
    <row r="20" spans="1:5" ht="15" customHeight="1" x14ac:dyDescent="0.25">
      <c r="A20" s="1"/>
      <c r="B20" s="31" t="s">
        <v>138</v>
      </c>
      <c r="C20" s="10">
        <v>0</v>
      </c>
      <c r="D20" s="11" t="s">
        <v>3</v>
      </c>
      <c r="E20" s="1"/>
    </row>
    <row r="21" spans="1:5" x14ac:dyDescent="0.25">
      <c r="A21" s="1"/>
      <c r="B21" s="30" t="s">
        <v>135</v>
      </c>
      <c r="C21" s="28"/>
      <c r="D21" s="19"/>
      <c r="E21" s="1"/>
    </row>
    <row r="22" spans="1:5" x14ac:dyDescent="0.25">
      <c r="A22" s="1"/>
      <c r="B22" s="70" t="s">
        <v>136</v>
      </c>
      <c r="C22" s="10">
        <f>'Fane 8. Skattesagen'!G15</f>
        <v>0</v>
      </c>
      <c r="D22" s="11" t="s">
        <v>3</v>
      </c>
      <c r="E22" s="1"/>
    </row>
    <row r="23" spans="1:5" x14ac:dyDescent="0.25">
      <c r="A23" s="1"/>
      <c r="B23" s="33" t="s">
        <v>140</v>
      </c>
      <c r="C23" s="12">
        <f>SUM(C14,C16,C18,C20,C22)</f>
        <v>426111606.2910676</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LcnzajBNONlQ+HCa6naypW6MdKdKkm8d7I106eYS42yWL/kOX6s1lf0JK0xjLp4iMPYO0nV/OITOTJ6rjYxtcw==" saltValue="K4CwdJrLwX0Ec/5uT5NqUQ=="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F50"/>
  <sheetViews>
    <sheetView showGridLines="0" view="pageLayout" zoomScaleNormal="100"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4" t="s">
        <v>204</v>
      </c>
      <c r="C3" s="114"/>
      <c r="D3" s="114"/>
      <c r="E3" s="1"/>
      <c r="F3" s="1"/>
    </row>
    <row r="4" spans="1:6" ht="15" customHeight="1" x14ac:dyDescent="0.25">
      <c r="A4" s="1"/>
      <c r="B4" s="114"/>
      <c r="C4" s="114"/>
      <c r="D4" s="114"/>
      <c r="E4" s="1"/>
      <c r="F4" s="1"/>
    </row>
    <row r="5" spans="1:6" x14ac:dyDescent="0.25">
      <c r="A5" s="1"/>
      <c r="B5" s="115" t="s">
        <v>253</v>
      </c>
      <c r="C5" s="115"/>
      <c r="D5" s="115"/>
      <c r="E5" s="1"/>
      <c r="F5" s="1"/>
    </row>
    <row r="6" spans="1:6" x14ac:dyDescent="0.25">
      <c r="A6" s="1"/>
      <c r="B6" s="77"/>
      <c r="C6" s="77"/>
      <c r="D6" s="77"/>
      <c r="E6" s="1"/>
      <c r="F6" s="1"/>
    </row>
    <row r="7" spans="1:6" x14ac:dyDescent="0.25">
      <c r="A7" s="1"/>
      <c r="B7" s="1"/>
      <c r="C7" s="1"/>
      <c r="D7" s="1"/>
      <c r="E7" s="1"/>
      <c r="F7" s="1"/>
    </row>
    <row r="8" spans="1:6" x14ac:dyDescent="0.25">
      <c r="A8" s="1"/>
      <c r="B8" s="33" t="s">
        <v>13</v>
      </c>
      <c r="C8" s="28"/>
      <c r="D8" s="19"/>
      <c r="E8" s="1"/>
      <c r="F8" s="1"/>
    </row>
    <row r="9" spans="1:6" ht="15" customHeight="1" x14ac:dyDescent="0.25">
      <c r="A9" s="1"/>
      <c r="B9" s="29" t="s">
        <v>208</v>
      </c>
      <c r="C9" s="7">
        <f>'Fane 2.3. Økonomisk ramme 2026'!C14</f>
        <v>369395675.43442011</v>
      </c>
      <c r="D9" s="8" t="s">
        <v>3</v>
      </c>
      <c r="E9" s="1"/>
      <c r="F9" s="1"/>
    </row>
    <row r="10" spans="1:6" ht="15" customHeight="1" x14ac:dyDescent="0.25">
      <c r="A10" s="1"/>
      <c r="B10" s="26" t="s">
        <v>19</v>
      </c>
      <c r="C10" s="7">
        <f>SUM(C9:C9)*'Fane 15. Nøgletal'!C16</f>
        <v>29847170.575101145</v>
      </c>
      <c r="D10" s="8" t="s">
        <v>3</v>
      </c>
      <c r="E10" s="1"/>
      <c r="F10" s="1"/>
    </row>
    <row r="11" spans="1:6" ht="15" customHeight="1" x14ac:dyDescent="0.25">
      <c r="A11" s="1"/>
      <c r="B11" s="26" t="s">
        <v>10</v>
      </c>
      <c r="C11" s="9">
        <f>-SUM(C9:C10)*'Fane 5. Individuelt eff. krav'!G9</f>
        <v>-2382721.9547580737</v>
      </c>
      <c r="D11" s="8" t="s">
        <v>3</v>
      </c>
      <c r="E11" s="1"/>
      <c r="F11" s="1"/>
    </row>
    <row r="12" spans="1:6" ht="15" customHeight="1" x14ac:dyDescent="0.25">
      <c r="A12" s="1"/>
      <c r="B12" s="26" t="s">
        <v>23</v>
      </c>
      <c r="C12" s="9">
        <f>-'Fane 4.1. Gen. krav - drift'!G69</f>
        <v>-4041284.2149085971</v>
      </c>
      <c r="D12" s="8" t="s">
        <v>3</v>
      </c>
      <c r="E12" s="1"/>
      <c r="F12" s="1"/>
    </row>
    <row r="13" spans="1:6" ht="15" customHeight="1" x14ac:dyDescent="0.25">
      <c r="A13" s="1"/>
      <c r="B13" s="26" t="s">
        <v>24</v>
      </c>
      <c r="C13" s="9">
        <f>-'Fane 4.2. Gen. krav - anlæg'!G70</f>
        <v>0</v>
      </c>
      <c r="D13" s="8" t="s">
        <v>3</v>
      </c>
      <c r="E13" s="1"/>
      <c r="F13" s="1"/>
    </row>
    <row r="14" spans="1:6" ht="14.25" customHeight="1" x14ac:dyDescent="0.25">
      <c r="A14" s="1"/>
      <c r="B14" s="27" t="s">
        <v>21</v>
      </c>
      <c r="C14" s="10">
        <f>SUM(C9:C13)</f>
        <v>392818839.8398546</v>
      </c>
      <c r="D14" s="11" t="s">
        <v>3</v>
      </c>
      <c r="E14" s="1"/>
      <c r="F14" s="1"/>
    </row>
    <row r="15" spans="1:6" x14ac:dyDescent="0.25">
      <c r="A15" s="1"/>
      <c r="B15" s="33" t="s">
        <v>12</v>
      </c>
      <c r="C15" s="28"/>
      <c r="D15" s="19"/>
      <c r="E15" s="1"/>
      <c r="F15" s="1"/>
    </row>
    <row r="16" spans="1:6" ht="15" customHeight="1" x14ac:dyDescent="0.25">
      <c r="A16" s="1"/>
      <c r="B16" s="31" t="s">
        <v>12</v>
      </c>
      <c r="C16" s="10">
        <f>'Fane 6. Ikke-påvirkelige omk.'!C21*(1+'Fane 15. Nøgletal'!C16)^3+'Fane 6. Ikke-påvirkelige omk.'!C28+'Fane 6. Ikke-påvirkelige omk.'!C36</f>
        <v>61298578.069864586</v>
      </c>
      <c r="D16" s="11" t="s">
        <v>3</v>
      </c>
      <c r="E16" s="1"/>
      <c r="F16" s="1"/>
    </row>
    <row r="17" spans="1:6" ht="15" customHeight="1" x14ac:dyDescent="0.25">
      <c r="A17" s="1"/>
      <c r="B17" s="33" t="s">
        <v>74</v>
      </c>
      <c r="C17" s="28"/>
      <c r="D17" s="19"/>
      <c r="E17" s="1"/>
      <c r="F17" s="1"/>
    </row>
    <row r="18" spans="1:6" ht="15" customHeight="1" x14ac:dyDescent="0.25">
      <c r="A18" s="1"/>
      <c r="B18" s="86" t="s">
        <v>74</v>
      </c>
      <c r="C18" s="10">
        <f>'Fane 12. Periodevise driftsomk.'!E31</f>
        <v>0</v>
      </c>
      <c r="D18" s="11" t="s">
        <v>3</v>
      </c>
      <c r="E18" s="1"/>
      <c r="F18" s="1"/>
    </row>
    <row r="19" spans="1:6" ht="15" customHeight="1" x14ac:dyDescent="0.25">
      <c r="A19" s="1"/>
      <c r="B19" s="33" t="s">
        <v>116</v>
      </c>
      <c r="C19" s="28"/>
      <c r="D19" s="19"/>
      <c r="E19" s="1"/>
      <c r="F19" s="1"/>
    </row>
    <row r="20" spans="1:6" ht="15" customHeight="1" x14ac:dyDescent="0.25">
      <c r="A20" s="1"/>
      <c r="B20" s="31" t="s">
        <v>138</v>
      </c>
      <c r="C20" s="10">
        <v>0</v>
      </c>
      <c r="D20" s="11" t="s">
        <v>3</v>
      </c>
      <c r="E20" s="1"/>
      <c r="F20" s="1"/>
    </row>
    <row r="21" spans="1:6" x14ac:dyDescent="0.25">
      <c r="A21" s="1"/>
      <c r="B21" s="30" t="s">
        <v>135</v>
      </c>
      <c r="C21" s="28"/>
      <c r="D21" s="19"/>
      <c r="E21" s="1"/>
      <c r="F21" s="1"/>
    </row>
    <row r="22" spans="1:6" x14ac:dyDescent="0.25">
      <c r="A22" s="1"/>
      <c r="B22" s="70" t="s">
        <v>136</v>
      </c>
      <c r="C22" s="10">
        <f>'Fane 8. Skattesagen'!G16</f>
        <v>0</v>
      </c>
      <c r="D22" s="11" t="s">
        <v>3</v>
      </c>
      <c r="E22" s="1"/>
      <c r="F22" s="1"/>
    </row>
    <row r="23" spans="1:6" x14ac:dyDescent="0.25">
      <c r="A23" s="1"/>
      <c r="B23" s="33" t="s">
        <v>209</v>
      </c>
      <c r="C23" s="12">
        <f>SUM(C14,C16,C18,C20,C22)</f>
        <v>454117417.90971917</v>
      </c>
      <c r="D23" s="13" t="s">
        <v>3</v>
      </c>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sheetData>
  <sheetProtection algorithmName="SHA-512" hashValue="cMR/koAts8gLWLYikFoLtOigAklnDq61eKl67RkRt9/XmYqi7XF/JnPA59ik/Ej+w/CbwwpkPyBIf6kElRcTJg==" saltValue="KgUfm1i8jUPR8rZKOC+xzQ=="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6"/>
  <sheetViews>
    <sheetView showGridLines="0" view="pageLayout" zoomScaleNormal="100"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116" t="s">
        <v>205</v>
      </c>
      <c r="C3" s="116"/>
      <c r="D3" s="116"/>
      <c r="E3" s="1"/>
    </row>
    <row r="4" spans="1:5" x14ac:dyDescent="0.25">
      <c r="A4" s="1"/>
      <c r="B4" s="116"/>
      <c r="C4" s="116"/>
      <c r="D4" s="116"/>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254</v>
      </c>
      <c r="C8" s="28"/>
      <c r="D8" s="19"/>
      <c r="E8" s="1"/>
    </row>
    <row r="9" spans="1:5" x14ac:dyDescent="0.25">
      <c r="A9" s="1"/>
      <c r="B9" s="29" t="s">
        <v>255</v>
      </c>
      <c r="C9" s="7">
        <v>317879036.58517754</v>
      </c>
      <c r="D9" s="8" t="s">
        <v>3</v>
      </c>
      <c r="E9" s="1"/>
    </row>
    <row r="10" spans="1:5" x14ac:dyDescent="0.25">
      <c r="A10" s="1"/>
      <c r="B10" s="92" t="s">
        <v>36</v>
      </c>
      <c r="C10" s="7">
        <v>0</v>
      </c>
      <c r="D10" s="8" t="s">
        <v>3</v>
      </c>
      <c r="E10" s="1"/>
    </row>
    <row r="11" spans="1:5" x14ac:dyDescent="0.25">
      <c r="A11" s="1"/>
      <c r="B11" s="92" t="s">
        <v>37</v>
      </c>
      <c r="C11" s="9">
        <v>457327.98482000001</v>
      </c>
      <c r="D11" s="8" t="s">
        <v>3</v>
      </c>
      <c r="E11" s="1"/>
    </row>
    <row r="12" spans="1:5" x14ac:dyDescent="0.25">
      <c r="A12" s="1"/>
      <c r="B12" s="92" t="s">
        <v>26</v>
      </c>
      <c r="C12" s="9">
        <v>0</v>
      </c>
      <c r="D12" s="8" t="s">
        <v>3</v>
      </c>
      <c r="E12" s="1"/>
    </row>
    <row r="13" spans="1:5" x14ac:dyDescent="0.25">
      <c r="A13" s="1"/>
      <c r="B13" s="92" t="s">
        <v>25</v>
      </c>
      <c r="C13" s="9">
        <v>0</v>
      </c>
      <c r="D13" s="8" t="s">
        <v>3</v>
      </c>
      <c r="E13" s="1"/>
    </row>
    <row r="14" spans="1:5" x14ac:dyDescent="0.25">
      <c r="A14" s="1"/>
      <c r="B14" s="92" t="s">
        <v>105</v>
      </c>
      <c r="C14" s="9">
        <v>0</v>
      </c>
      <c r="D14" s="8" t="s">
        <v>3</v>
      </c>
      <c r="E14" s="1"/>
    </row>
    <row r="15" spans="1:5" x14ac:dyDescent="0.25">
      <c r="A15" s="1"/>
      <c r="B15" s="92" t="s">
        <v>106</v>
      </c>
      <c r="C15" s="9">
        <v>0</v>
      </c>
      <c r="D15" s="8" t="s">
        <v>3</v>
      </c>
      <c r="E15" s="1"/>
    </row>
    <row r="16" spans="1:5" x14ac:dyDescent="0.25">
      <c r="A16" s="1"/>
      <c r="B16" s="92" t="s">
        <v>19</v>
      </c>
      <c r="C16" s="41">
        <v>1065281.6969906779</v>
      </c>
      <c r="D16" s="8" t="s">
        <v>3</v>
      </c>
      <c r="E16" s="1"/>
    </row>
    <row r="17" spans="1:5" x14ac:dyDescent="0.25">
      <c r="A17" s="1"/>
      <c r="B17" s="92" t="s">
        <v>10</v>
      </c>
      <c r="C17" s="41">
        <v>-6388032.9253397649</v>
      </c>
      <c r="D17" s="8" t="s">
        <v>3</v>
      </c>
      <c r="E17" s="1"/>
    </row>
    <row r="18" spans="1:5" x14ac:dyDescent="0.25">
      <c r="A18" s="1"/>
      <c r="B18" s="92" t="s">
        <v>23</v>
      </c>
      <c r="C18" s="41">
        <v>-3210951.5140932561</v>
      </c>
      <c r="D18" s="8" t="s">
        <v>3</v>
      </c>
      <c r="E18" s="1"/>
    </row>
    <row r="19" spans="1:5" x14ac:dyDescent="0.25">
      <c r="A19" s="1"/>
      <c r="B19" s="92" t="s">
        <v>24</v>
      </c>
      <c r="C19" s="41">
        <v>-2549961.2771999752</v>
      </c>
      <c r="D19" s="8" t="s">
        <v>3</v>
      </c>
      <c r="E19" s="47"/>
    </row>
    <row r="20" spans="1:5" x14ac:dyDescent="0.25">
      <c r="A20" s="1"/>
      <c r="B20" s="86" t="s">
        <v>21</v>
      </c>
      <c r="C20" s="10">
        <v>307252700.5503552</v>
      </c>
      <c r="D20" s="11" t="s">
        <v>3</v>
      </c>
      <c r="E20" s="1"/>
    </row>
    <row r="21" spans="1:5" x14ac:dyDescent="0.25">
      <c r="A21" s="1"/>
      <c r="B21" s="33" t="s">
        <v>12</v>
      </c>
      <c r="C21" s="28"/>
      <c r="D21" s="19"/>
      <c r="E21" s="1"/>
    </row>
    <row r="22" spans="1:5" x14ac:dyDescent="0.25">
      <c r="A22" s="1"/>
      <c r="B22" s="31" t="s">
        <v>12</v>
      </c>
      <c r="C22" s="10">
        <v>50679853.417297974</v>
      </c>
      <c r="D22" s="11" t="s">
        <v>3</v>
      </c>
      <c r="E22" s="1"/>
    </row>
    <row r="23" spans="1:5" x14ac:dyDescent="0.25">
      <c r="A23" s="1"/>
      <c r="B23" s="33" t="s">
        <v>74</v>
      </c>
      <c r="C23" s="28"/>
      <c r="D23" s="19"/>
      <c r="E23" s="1"/>
    </row>
    <row r="24" spans="1:5" x14ac:dyDescent="0.25">
      <c r="A24" s="1"/>
      <c r="B24" s="86" t="s">
        <v>74</v>
      </c>
      <c r="C24" s="10">
        <v>0</v>
      </c>
      <c r="D24" s="11" t="s">
        <v>3</v>
      </c>
      <c r="E24" s="1"/>
    </row>
    <row r="25" spans="1:5" x14ac:dyDescent="0.25">
      <c r="A25" s="1"/>
      <c r="B25" s="44" t="s">
        <v>73</v>
      </c>
      <c r="C25" s="42"/>
      <c r="D25" s="43"/>
      <c r="E25" s="1"/>
    </row>
    <row r="26" spans="1:5" x14ac:dyDescent="0.25">
      <c r="A26" s="1"/>
      <c r="B26" s="92" t="s">
        <v>158</v>
      </c>
      <c r="C26" s="69">
        <v>0</v>
      </c>
      <c r="D26" s="8" t="s">
        <v>3</v>
      </c>
      <c r="E26" s="1"/>
    </row>
    <row r="27" spans="1:5" x14ac:dyDescent="0.25">
      <c r="A27" s="1"/>
      <c r="B27" s="92" t="s">
        <v>70</v>
      </c>
      <c r="C27" s="69">
        <v>0</v>
      </c>
      <c r="D27" s="8" t="s">
        <v>3</v>
      </c>
      <c r="E27" s="1"/>
    </row>
    <row r="28" spans="1:5" x14ac:dyDescent="0.25">
      <c r="A28" s="1"/>
      <c r="B28" s="92" t="s">
        <v>161</v>
      </c>
      <c r="C28" s="69">
        <v>0</v>
      </c>
      <c r="D28" s="8" t="s">
        <v>3</v>
      </c>
      <c r="E28" s="1"/>
    </row>
    <row r="29" spans="1:5" x14ac:dyDescent="0.25">
      <c r="A29" s="1"/>
      <c r="B29" s="92" t="s">
        <v>162</v>
      </c>
      <c r="C29" s="69">
        <v>0</v>
      </c>
      <c r="D29" s="8" t="s">
        <v>3</v>
      </c>
      <c r="E29" s="1"/>
    </row>
    <row r="30" spans="1:5" x14ac:dyDescent="0.25">
      <c r="A30" s="1"/>
      <c r="B30" s="70" t="s">
        <v>75</v>
      </c>
      <c r="C30" s="10">
        <v>0</v>
      </c>
      <c r="D30" s="11" t="s">
        <v>3</v>
      </c>
      <c r="E30" s="1"/>
    </row>
    <row r="31" spans="1:5" x14ac:dyDescent="0.25">
      <c r="A31" s="1"/>
      <c r="B31" s="33" t="s">
        <v>116</v>
      </c>
      <c r="C31" s="28"/>
      <c r="D31" s="19"/>
      <c r="E31" s="1"/>
    </row>
    <row r="32" spans="1:5" x14ac:dyDescent="0.25">
      <c r="A32" s="1"/>
      <c r="B32" s="31" t="s">
        <v>138</v>
      </c>
      <c r="C32" s="10">
        <v>-9820078.6931052804</v>
      </c>
      <c r="D32" s="11" t="s">
        <v>3</v>
      </c>
      <c r="E32" s="1"/>
    </row>
    <row r="33" spans="1:5" x14ac:dyDescent="0.25">
      <c r="A33" s="1"/>
      <c r="B33" s="33" t="s">
        <v>266</v>
      </c>
      <c r="C33" s="28"/>
      <c r="D33" s="19"/>
      <c r="E33" s="1"/>
    </row>
    <row r="34" spans="1:5" x14ac:dyDescent="0.25">
      <c r="A34" s="1"/>
      <c r="B34" s="31" t="s">
        <v>266</v>
      </c>
      <c r="C34" s="10">
        <v>0</v>
      </c>
      <c r="D34" s="11" t="s">
        <v>3</v>
      </c>
      <c r="E34" s="1"/>
    </row>
    <row r="35" spans="1:5" x14ac:dyDescent="0.25">
      <c r="A35" s="1"/>
      <c r="B35" s="30" t="s">
        <v>135</v>
      </c>
      <c r="C35" s="28"/>
      <c r="D35" s="19"/>
      <c r="E35" s="1"/>
    </row>
    <row r="36" spans="1:5" x14ac:dyDescent="0.25">
      <c r="A36" s="1"/>
      <c r="B36" s="70" t="s">
        <v>136</v>
      </c>
      <c r="C36" s="10">
        <v>0</v>
      </c>
      <c r="D36" s="11" t="s">
        <v>3</v>
      </c>
      <c r="E36" s="1"/>
    </row>
    <row r="37" spans="1:5" x14ac:dyDescent="0.25">
      <c r="A37" s="1"/>
      <c r="B37" s="33" t="s">
        <v>267</v>
      </c>
      <c r="C37" s="49">
        <v>348112475.27454787</v>
      </c>
      <c r="D37" s="30" t="s">
        <v>3</v>
      </c>
      <c r="E37" s="1"/>
    </row>
    <row r="38" spans="1:5" ht="30" customHeight="1" x14ac:dyDescent="0.25">
      <c r="A38" s="1"/>
      <c r="B38" s="117" t="s">
        <v>268</v>
      </c>
      <c r="C38" s="117"/>
      <c r="D38" s="117"/>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sheetData>
  <sheetProtection algorithmName="SHA-512" hashValue="WN0UJRluKIgxpEV7L2LpjVO5D1KOlyJcE1VCtgNr2aI+kAFENveILZgYv1sasYFCNRrBQ/n/dUz6E6NAzZR91g==" saltValue="iaqXvWaVeuXX8e9CSbll8Q==" spinCount="100000" sheet="1" objects="1" scenarios="1"/>
  <mergeCells count="2">
    <mergeCell ref="B3:D4"/>
    <mergeCell ref="B38:D3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99"/>
  <sheetViews>
    <sheetView showGridLines="0" view="pageLayout" zoomScaleNormal="100" workbookViewId="0"/>
  </sheetViews>
  <sheetFormatPr defaultColWidth="9.140625" defaultRowHeight="15" x14ac:dyDescent="0.25"/>
  <cols>
    <col min="1" max="1" width="4.7109375" style="2" customWidth="1"/>
    <col min="2" max="5" width="9.140625" style="2"/>
    <col min="6" max="6" width="20.42578125" style="2" customWidth="1"/>
    <col min="7" max="7" width="16.28515625" style="2" customWidth="1"/>
    <col min="8" max="8" width="3.42578125" style="2" customWidth="1"/>
    <col min="9" max="9" width="4.7109375" style="2" customWidth="1"/>
    <col min="10" max="16384" width="9.140625" style="2"/>
  </cols>
  <sheetData>
    <row r="1" spans="1:9" ht="15" customHeight="1" x14ac:dyDescent="0.25">
      <c r="A1" s="1"/>
      <c r="B1" s="37"/>
      <c r="C1" s="37"/>
      <c r="D1" s="37"/>
      <c r="E1" s="37"/>
      <c r="F1" s="37"/>
      <c r="G1" s="37"/>
      <c r="H1" s="37"/>
      <c r="I1" s="1"/>
    </row>
    <row r="2" spans="1:9" ht="15" customHeight="1" x14ac:dyDescent="0.25">
      <c r="A2" s="1"/>
      <c r="B2" s="116" t="s">
        <v>91</v>
      </c>
      <c r="C2" s="116"/>
      <c r="D2" s="116"/>
      <c r="E2" s="116"/>
      <c r="F2" s="116"/>
      <c r="G2" s="116"/>
      <c r="H2" s="116"/>
      <c r="I2" s="1"/>
    </row>
    <row r="3" spans="1:9" ht="28.5" customHeight="1" x14ac:dyDescent="0.25">
      <c r="A3" s="1"/>
      <c r="B3" s="116"/>
      <c r="C3" s="116"/>
      <c r="D3" s="116"/>
      <c r="E3" s="116"/>
      <c r="F3" s="116"/>
      <c r="G3" s="116"/>
      <c r="H3" s="116"/>
      <c r="I3" s="1"/>
    </row>
    <row r="4" spans="1:9" x14ac:dyDescent="0.25">
      <c r="A4" s="1"/>
      <c r="B4" s="118" t="s">
        <v>46</v>
      </c>
      <c r="C4" s="119"/>
      <c r="D4" s="119"/>
      <c r="E4" s="119"/>
      <c r="F4" s="119"/>
      <c r="G4" s="119"/>
      <c r="H4" s="120"/>
      <c r="I4" s="1"/>
    </row>
    <row r="5" spans="1:9" x14ac:dyDescent="0.25">
      <c r="A5" s="1"/>
      <c r="B5" s="121" t="s">
        <v>38</v>
      </c>
      <c r="C5" s="122"/>
      <c r="D5" s="122"/>
      <c r="E5" s="122"/>
      <c r="F5" s="123"/>
      <c r="G5" s="63">
        <v>144254587.07373461</v>
      </c>
      <c r="H5" s="14" t="s">
        <v>3</v>
      </c>
      <c r="I5" s="1"/>
    </row>
    <row r="6" spans="1:9" x14ac:dyDescent="0.25">
      <c r="A6" s="1"/>
      <c r="B6" s="130" t="s">
        <v>102</v>
      </c>
      <c r="C6" s="131"/>
      <c r="D6" s="131"/>
      <c r="E6" s="131"/>
      <c r="F6" s="132"/>
      <c r="G6" s="66">
        <v>0</v>
      </c>
      <c r="H6" s="14" t="s">
        <v>3</v>
      </c>
      <c r="I6" s="1"/>
    </row>
    <row r="7" spans="1:9" x14ac:dyDescent="0.25">
      <c r="A7" s="1"/>
      <c r="B7" s="121" t="s">
        <v>39</v>
      </c>
      <c r="C7" s="122"/>
      <c r="D7" s="122"/>
      <c r="E7" s="122"/>
      <c r="F7" s="123"/>
      <c r="G7" s="23">
        <f>SUM(G5:G6)*'Fane 15. Nøgletal'!C33</f>
        <v>2885091.7414746922</v>
      </c>
      <c r="H7" s="14" t="s">
        <v>3</v>
      </c>
      <c r="I7" s="1"/>
    </row>
    <row r="8" spans="1:9" x14ac:dyDescent="0.25">
      <c r="A8" s="1"/>
      <c r="B8" s="33"/>
      <c r="C8" s="28"/>
      <c r="D8" s="28"/>
      <c r="E8" s="28"/>
      <c r="F8" s="28"/>
      <c r="G8" s="28"/>
      <c r="H8" s="19"/>
      <c r="I8" s="1"/>
    </row>
    <row r="9" spans="1:9" x14ac:dyDescent="0.25">
      <c r="A9" s="1"/>
      <c r="B9" s="1"/>
      <c r="C9" s="1"/>
      <c r="D9" s="1"/>
      <c r="E9" s="1"/>
      <c r="F9" s="1"/>
      <c r="G9" s="1"/>
      <c r="H9" s="1"/>
      <c r="I9" s="1"/>
    </row>
    <row r="10" spans="1:9" x14ac:dyDescent="0.25">
      <c r="A10" s="1"/>
      <c r="B10" s="118" t="s">
        <v>47</v>
      </c>
      <c r="C10" s="119"/>
      <c r="D10" s="119"/>
      <c r="E10" s="119"/>
      <c r="F10" s="119"/>
      <c r="G10" s="119"/>
      <c r="H10" s="120"/>
      <c r="I10" s="1"/>
    </row>
    <row r="11" spans="1:9" x14ac:dyDescent="0.25">
      <c r="A11" s="1"/>
      <c r="B11" s="121" t="s">
        <v>40</v>
      </c>
      <c r="C11" s="122"/>
      <c r="D11" s="122"/>
      <c r="E11" s="122"/>
      <c r="F11" s="123"/>
      <c r="G11" s="23">
        <f>(G5-G7)*(1+'Fane 15. Nøgletal'!C10)</f>
        <v>143843461.50057447</v>
      </c>
      <c r="H11" s="14" t="s">
        <v>3</v>
      </c>
      <c r="I11" s="1"/>
    </row>
    <row r="12" spans="1:9" ht="15" customHeight="1" x14ac:dyDescent="0.25">
      <c r="A12" s="1"/>
      <c r="B12" s="121" t="s">
        <v>103</v>
      </c>
      <c r="C12" s="122"/>
      <c r="D12" s="122"/>
      <c r="E12" s="122"/>
      <c r="F12" s="123"/>
      <c r="G12" s="66">
        <v>927327.98867640423</v>
      </c>
      <c r="H12" s="14" t="s">
        <v>3</v>
      </c>
      <c r="I12" s="1"/>
    </row>
    <row r="13" spans="1:9" x14ac:dyDescent="0.25">
      <c r="A13" s="1"/>
      <c r="B13" s="130" t="s">
        <v>100</v>
      </c>
      <c r="C13" s="131"/>
      <c r="D13" s="131"/>
      <c r="E13" s="131"/>
      <c r="F13" s="132"/>
      <c r="G13" s="66">
        <v>0</v>
      </c>
      <c r="H13" s="14" t="s">
        <v>3</v>
      </c>
      <c r="I13" s="1"/>
    </row>
    <row r="14" spans="1:9" x14ac:dyDescent="0.25">
      <c r="A14" s="1"/>
      <c r="B14" s="127" t="s">
        <v>244</v>
      </c>
      <c r="C14" s="128"/>
      <c r="D14" s="128"/>
      <c r="E14" s="128"/>
      <c r="F14" s="129"/>
      <c r="G14" s="66">
        <v>20084209.28848125</v>
      </c>
      <c r="H14" s="14" t="s">
        <v>3</v>
      </c>
      <c r="I14" s="1"/>
    </row>
    <row r="15" spans="1:9" x14ac:dyDescent="0.25">
      <c r="A15" s="1"/>
      <c r="B15" s="121" t="s">
        <v>41</v>
      </c>
      <c r="C15" s="122"/>
      <c r="D15" s="122"/>
      <c r="E15" s="122"/>
      <c r="F15" s="123"/>
      <c r="G15" s="23">
        <f>SUM(G11:G14)*'Fane 15. Nøgletal'!C33</f>
        <v>3297099.9755546427</v>
      </c>
      <c r="H15" s="14" t="s">
        <v>3</v>
      </c>
      <c r="I15" s="1"/>
    </row>
    <row r="16" spans="1:9" x14ac:dyDescent="0.25">
      <c r="A16" s="1"/>
      <c r="B16" s="33"/>
      <c r="C16" s="28"/>
      <c r="D16" s="28"/>
      <c r="E16" s="28"/>
      <c r="F16" s="28"/>
      <c r="G16" s="28"/>
      <c r="H16" s="19"/>
      <c r="I16" s="1"/>
    </row>
    <row r="17" spans="1:9" x14ac:dyDescent="0.25">
      <c r="A17" s="1"/>
      <c r="B17" s="1"/>
      <c r="C17" s="1"/>
      <c r="D17" s="1"/>
      <c r="E17" s="1"/>
      <c r="F17" s="1"/>
      <c r="G17" s="1"/>
      <c r="H17" s="1"/>
      <c r="I17" s="1"/>
    </row>
    <row r="18" spans="1:9" x14ac:dyDescent="0.25">
      <c r="A18" s="1"/>
      <c r="B18" s="118" t="s">
        <v>48</v>
      </c>
      <c r="C18" s="119"/>
      <c r="D18" s="119"/>
      <c r="E18" s="119"/>
      <c r="F18" s="119"/>
      <c r="G18" s="119"/>
      <c r="H18" s="120"/>
      <c r="I18" s="1"/>
    </row>
    <row r="19" spans="1:9" x14ac:dyDescent="0.25">
      <c r="A19" s="1"/>
      <c r="B19" s="121" t="s">
        <v>42</v>
      </c>
      <c r="C19" s="122"/>
      <c r="D19" s="122"/>
      <c r="E19" s="122"/>
      <c r="F19" s="123"/>
      <c r="G19" s="23">
        <f>(SUM(G11:G12,G14)-(G15))*(1+'Fane 15. Nøgletal'!C10)</f>
        <v>164385162.03121561</v>
      </c>
      <c r="H19" s="14" t="s">
        <v>3</v>
      </c>
      <c r="I19" s="1"/>
    </row>
    <row r="20" spans="1:9" x14ac:dyDescent="0.25">
      <c r="A20" s="1"/>
      <c r="B20" s="127" t="s">
        <v>245</v>
      </c>
      <c r="C20" s="128"/>
      <c r="D20" s="128"/>
      <c r="E20" s="128"/>
      <c r="F20" s="129"/>
      <c r="G20" s="66">
        <v>0</v>
      </c>
      <c r="H20" s="14" t="s">
        <v>3</v>
      </c>
      <c r="I20" s="1"/>
    </row>
    <row r="21" spans="1:9" x14ac:dyDescent="0.25">
      <c r="A21" s="1"/>
      <c r="B21" s="121" t="s">
        <v>43</v>
      </c>
      <c r="C21" s="122"/>
      <c r="D21" s="122"/>
      <c r="E21" s="122"/>
      <c r="F21" s="123"/>
      <c r="G21" s="23">
        <f>SUM(G19:G20)*'Fane 15. Nøgletal'!C33</f>
        <v>3287703.2406243123</v>
      </c>
      <c r="H21" s="14" t="s">
        <v>3</v>
      </c>
      <c r="I21" s="1"/>
    </row>
    <row r="22" spans="1:9" x14ac:dyDescent="0.25">
      <c r="A22" s="1"/>
      <c r="B22" s="33"/>
      <c r="C22" s="28"/>
      <c r="D22" s="28"/>
      <c r="E22" s="28"/>
      <c r="F22" s="28"/>
      <c r="G22" s="28"/>
      <c r="H22" s="19"/>
      <c r="I22" s="1"/>
    </row>
    <row r="23" spans="1:9" x14ac:dyDescent="0.25">
      <c r="A23" s="1"/>
      <c r="B23" s="1"/>
      <c r="C23" s="1"/>
      <c r="D23" s="1"/>
      <c r="E23" s="1"/>
      <c r="F23" s="1"/>
      <c r="G23" s="1"/>
      <c r="H23" s="1"/>
      <c r="I23" s="1"/>
    </row>
    <row r="24" spans="1:9" x14ac:dyDescent="0.25">
      <c r="A24" s="1"/>
      <c r="B24" s="118" t="s">
        <v>49</v>
      </c>
      <c r="C24" s="119"/>
      <c r="D24" s="119"/>
      <c r="E24" s="119"/>
      <c r="F24" s="119"/>
      <c r="G24" s="119"/>
      <c r="H24" s="120"/>
      <c r="I24" s="1"/>
    </row>
    <row r="25" spans="1:9" x14ac:dyDescent="0.25">
      <c r="A25" s="1"/>
      <c r="B25" s="121" t="s">
        <v>44</v>
      </c>
      <c r="C25" s="122"/>
      <c r="D25" s="122"/>
      <c r="E25" s="122"/>
      <c r="F25" s="123"/>
      <c r="G25" s="23">
        <f>(G19+G20-G21)*(1+'Fane 15. Nøgletal'!C12)</f>
        <v>164271078.72876596</v>
      </c>
      <c r="H25" s="14" t="s">
        <v>3</v>
      </c>
      <c r="I25" s="1"/>
    </row>
    <row r="26" spans="1:9" x14ac:dyDescent="0.25">
      <c r="A26" s="1"/>
      <c r="B26" s="127" t="s">
        <v>246</v>
      </c>
      <c r="C26" s="128"/>
      <c r="D26" s="128"/>
      <c r="E26" s="128"/>
      <c r="F26" s="129"/>
      <c r="G26" s="66">
        <v>0</v>
      </c>
      <c r="H26" s="14" t="s">
        <v>3</v>
      </c>
      <c r="I26" s="1"/>
    </row>
    <row r="27" spans="1:9" x14ac:dyDescent="0.25">
      <c r="A27" s="1"/>
      <c r="B27" s="121" t="s">
        <v>45</v>
      </c>
      <c r="C27" s="122"/>
      <c r="D27" s="122"/>
      <c r="E27" s="122"/>
      <c r="F27" s="123"/>
      <c r="G27" s="23">
        <f>(G25+G26)*'Fane 15. Nøgletal'!C33</f>
        <v>3285421.5745753194</v>
      </c>
      <c r="H27" s="14" t="s">
        <v>3</v>
      </c>
      <c r="I27" s="1"/>
    </row>
    <row r="28" spans="1:9" x14ac:dyDescent="0.25">
      <c r="A28" s="1"/>
      <c r="B28" s="33"/>
      <c r="C28" s="28"/>
      <c r="D28" s="28"/>
      <c r="E28" s="28"/>
      <c r="F28" s="28"/>
      <c r="G28" s="28"/>
      <c r="H28" s="19"/>
      <c r="I28" s="1"/>
    </row>
    <row r="29" spans="1:9" x14ac:dyDescent="0.25">
      <c r="A29" s="1"/>
      <c r="B29" s="1"/>
      <c r="C29" s="1"/>
      <c r="D29" s="1"/>
      <c r="E29" s="1"/>
      <c r="F29" s="1"/>
      <c r="G29" s="1"/>
      <c r="H29" s="1"/>
      <c r="I29" s="1"/>
    </row>
    <row r="30" spans="1:9" x14ac:dyDescent="0.25">
      <c r="A30" s="1"/>
      <c r="B30" s="118" t="s">
        <v>52</v>
      </c>
      <c r="C30" s="119"/>
      <c r="D30" s="119"/>
      <c r="E30" s="119"/>
      <c r="F30" s="119"/>
      <c r="G30" s="119"/>
      <c r="H30" s="120"/>
      <c r="I30" s="1"/>
    </row>
    <row r="31" spans="1:9" x14ac:dyDescent="0.25">
      <c r="A31" s="1"/>
      <c r="B31" s="121" t="s">
        <v>53</v>
      </c>
      <c r="C31" s="122"/>
      <c r="D31" s="122"/>
      <c r="E31" s="122"/>
      <c r="F31" s="123"/>
      <c r="G31" s="23">
        <f>(G25+G26-G27)*(1+'Fane 15. Nøgletal'!C12)</f>
        <v>164157074.60012823</v>
      </c>
      <c r="H31" s="14" t="s">
        <v>3</v>
      </c>
      <c r="I31" s="1"/>
    </row>
    <row r="32" spans="1:9" x14ac:dyDescent="0.25">
      <c r="A32" s="1"/>
      <c r="B32" s="121" t="s">
        <v>243</v>
      </c>
      <c r="C32" s="122"/>
      <c r="D32" s="122"/>
      <c r="E32" s="122"/>
      <c r="F32" s="123"/>
      <c r="G32" s="63">
        <v>640301.01849755994</v>
      </c>
      <c r="H32" s="14" t="s">
        <v>3</v>
      </c>
      <c r="I32" s="1"/>
    </row>
    <row r="33" spans="1:9" x14ac:dyDescent="0.25">
      <c r="A33" s="1"/>
      <c r="B33" s="121" t="s">
        <v>54</v>
      </c>
      <c r="C33" s="122"/>
      <c r="D33" s="122"/>
      <c r="E33" s="122"/>
      <c r="F33" s="123"/>
      <c r="G33" s="23">
        <f>(G31+G32)*'Fane 15. Nøgletal'!C33</f>
        <v>3295947.5123725161</v>
      </c>
      <c r="H33" s="14" t="s">
        <v>3</v>
      </c>
      <c r="I33" s="1"/>
    </row>
    <row r="34" spans="1:9" x14ac:dyDescent="0.25">
      <c r="A34" s="1"/>
      <c r="B34" s="33"/>
      <c r="C34" s="28"/>
      <c r="D34" s="28"/>
      <c r="E34" s="28"/>
      <c r="F34" s="28"/>
      <c r="G34" s="28"/>
      <c r="H34" s="19"/>
      <c r="I34" s="1"/>
    </row>
    <row r="35" spans="1:9" x14ac:dyDescent="0.25">
      <c r="A35" s="1"/>
      <c r="B35" s="1"/>
      <c r="C35" s="1"/>
      <c r="D35" s="1"/>
      <c r="E35" s="1"/>
      <c r="F35" s="1"/>
      <c r="G35" s="1"/>
      <c r="H35" s="1"/>
      <c r="I35" s="1"/>
    </row>
    <row r="36" spans="1:9" x14ac:dyDescent="0.25">
      <c r="A36" s="1"/>
      <c r="B36" s="118" t="s">
        <v>126</v>
      </c>
      <c r="C36" s="119"/>
      <c r="D36" s="119"/>
      <c r="E36" s="119"/>
      <c r="F36" s="119"/>
      <c r="G36" s="119"/>
      <c r="H36" s="120"/>
      <c r="I36" s="1"/>
    </row>
    <row r="37" spans="1:9" x14ac:dyDescent="0.25">
      <c r="A37" s="1"/>
      <c r="B37" s="121" t="s">
        <v>68</v>
      </c>
      <c r="C37" s="122"/>
      <c r="D37" s="122"/>
      <c r="E37" s="122"/>
      <c r="F37" s="123"/>
      <c r="G37" s="23">
        <f>(G31+G32-G33)*(1+'Fane 15. Nøgletal'!C14)</f>
        <v>162034382.81900391</v>
      </c>
      <c r="H37" s="14" t="s">
        <v>3</v>
      </c>
      <c r="I37" s="1"/>
    </row>
    <row r="38" spans="1:9" x14ac:dyDescent="0.25">
      <c r="A38" s="1"/>
      <c r="B38" s="121" t="s">
        <v>242</v>
      </c>
      <c r="C38" s="122"/>
      <c r="D38" s="122"/>
      <c r="E38" s="122"/>
      <c r="F38" s="123"/>
      <c r="G38" s="63">
        <v>1250832.81091002</v>
      </c>
      <c r="H38" s="14" t="s">
        <v>3</v>
      </c>
      <c r="I38" s="1"/>
    </row>
    <row r="39" spans="1:9" x14ac:dyDescent="0.25">
      <c r="A39" s="1"/>
      <c r="B39" s="121" t="s">
        <v>128</v>
      </c>
      <c r="C39" s="122"/>
      <c r="D39" s="122"/>
      <c r="E39" s="122"/>
      <c r="F39" s="123"/>
      <c r="G39" s="23">
        <f>(G37+G38)*'Fane 15. Nøgletal'!C33</f>
        <v>3265704.3125982787</v>
      </c>
      <c r="H39" s="14" t="s">
        <v>3</v>
      </c>
      <c r="I39" s="1"/>
    </row>
    <row r="40" spans="1:9" x14ac:dyDescent="0.25">
      <c r="A40" s="1"/>
      <c r="B40" s="33"/>
      <c r="C40" s="28"/>
      <c r="D40" s="28"/>
      <c r="E40" s="28"/>
      <c r="F40" s="28"/>
      <c r="G40" s="28"/>
      <c r="H40" s="19"/>
      <c r="I40" s="1"/>
    </row>
    <row r="41" spans="1:9" x14ac:dyDescent="0.25">
      <c r="A41" s="1"/>
      <c r="B41" s="1"/>
      <c r="C41" s="1"/>
      <c r="D41" s="1"/>
      <c r="E41" s="1"/>
      <c r="F41" s="1"/>
      <c r="G41" s="1"/>
      <c r="H41" s="1"/>
      <c r="I41" s="1"/>
    </row>
    <row r="42" spans="1:9" x14ac:dyDescent="0.25">
      <c r="A42" s="1"/>
      <c r="B42" s="118" t="s">
        <v>127</v>
      </c>
      <c r="C42" s="119"/>
      <c r="D42" s="119"/>
      <c r="E42" s="119"/>
      <c r="F42" s="119"/>
      <c r="G42" s="119"/>
      <c r="H42" s="120"/>
      <c r="I42" s="1"/>
    </row>
    <row r="43" spans="1:9" x14ac:dyDescent="0.25">
      <c r="A43" s="1"/>
      <c r="B43" s="121" t="s">
        <v>155</v>
      </c>
      <c r="C43" s="122"/>
      <c r="D43" s="122"/>
      <c r="E43" s="122"/>
      <c r="F43" s="123"/>
      <c r="G43" s="23">
        <f>(G37+G38-G39)*(1+'Fane 15. Nøgletal'!C14)</f>
        <v>160547575.7046628</v>
      </c>
      <c r="H43" s="14" t="s">
        <v>3</v>
      </c>
      <c r="I43" s="1"/>
    </row>
    <row r="44" spans="1:9" x14ac:dyDescent="0.25">
      <c r="A44" s="1"/>
      <c r="B44" s="124" t="s">
        <v>157</v>
      </c>
      <c r="C44" s="125"/>
      <c r="D44" s="125"/>
      <c r="E44" s="125"/>
      <c r="F44" s="126"/>
      <c r="G44" s="72">
        <v>0</v>
      </c>
      <c r="H44" s="14" t="s">
        <v>3</v>
      </c>
      <c r="I44" s="1"/>
    </row>
    <row r="45" spans="1:9" x14ac:dyDescent="0.25">
      <c r="A45" s="1"/>
      <c r="B45" s="121" t="s">
        <v>129</v>
      </c>
      <c r="C45" s="122"/>
      <c r="D45" s="122"/>
      <c r="E45" s="122"/>
      <c r="F45" s="123"/>
      <c r="G45" s="23">
        <f>SUM(G43:G44)*'Fane 15. Nøgletal'!C33</f>
        <v>3210951.5140932561</v>
      </c>
      <c r="H45" s="14" t="s">
        <v>3</v>
      </c>
      <c r="I45" s="1"/>
    </row>
    <row r="46" spans="1:9" x14ac:dyDescent="0.25">
      <c r="A46" s="1"/>
      <c r="B46" s="33"/>
      <c r="C46" s="28"/>
      <c r="D46" s="28"/>
      <c r="E46" s="28"/>
      <c r="F46" s="28"/>
      <c r="G46" s="28"/>
      <c r="H46" s="19"/>
      <c r="I46" s="1"/>
    </row>
    <row r="47" spans="1:9" x14ac:dyDescent="0.25">
      <c r="A47" s="1"/>
      <c r="B47" s="1"/>
      <c r="C47" s="1"/>
      <c r="D47" s="1"/>
      <c r="E47" s="1"/>
      <c r="F47" s="1"/>
      <c r="G47" s="1"/>
      <c r="H47" s="1"/>
      <c r="I47" s="1"/>
    </row>
    <row r="48" spans="1:9" x14ac:dyDescent="0.25">
      <c r="A48" s="1"/>
      <c r="B48" s="1"/>
      <c r="C48" s="1"/>
      <c r="D48" s="1"/>
      <c r="E48" s="1"/>
      <c r="F48" s="1"/>
      <c r="G48" s="46"/>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18" t="s">
        <v>192</v>
      </c>
      <c r="C51" s="119"/>
      <c r="D51" s="119"/>
      <c r="E51" s="119"/>
      <c r="F51" s="119"/>
      <c r="G51" s="119"/>
      <c r="H51" s="120"/>
      <c r="I51" s="1"/>
    </row>
    <row r="52" spans="1:9" x14ac:dyDescent="0.25">
      <c r="A52" s="1"/>
      <c r="B52" s="121" t="s">
        <v>154</v>
      </c>
      <c r="C52" s="122"/>
      <c r="D52" s="122"/>
      <c r="E52" s="122"/>
      <c r="F52" s="123"/>
      <c r="G52" s="23">
        <f>(G43+G44-G45)*(1+'Fane 15. Nøgletal'!C16)</f>
        <v>170049423.42516756</v>
      </c>
      <c r="H52" s="14" t="s">
        <v>3</v>
      </c>
      <c r="I52" s="1"/>
    </row>
    <row r="53" spans="1:9" x14ac:dyDescent="0.25">
      <c r="A53" s="1"/>
      <c r="B53" s="82" t="s">
        <v>194</v>
      </c>
      <c r="C53" s="83"/>
      <c r="D53" s="83"/>
      <c r="E53" s="83"/>
      <c r="F53" s="84"/>
      <c r="G53" s="74">
        <f>('Fane 2.1. Økonomisk ramme 2024'!C10+'Fane 2.1. Økonomisk ramme 2024'!C12+'Fane 2.1. Økonomisk ramme 2024'!C14)*(1+'Fane 15. Nøgletal'!C16)</f>
        <v>0</v>
      </c>
      <c r="H53" s="14" t="s">
        <v>3</v>
      </c>
      <c r="I53" s="1"/>
    </row>
    <row r="54" spans="1:9" x14ac:dyDescent="0.25">
      <c r="A54" s="1"/>
      <c r="B54" s="121" t="s">
        <v>210</v>
      </c>
      <c r="C54" s="122"/>
      <c r="D54" s="122"/>
      <c r="E54" s="122"/>
      <c r="F54" s="123"/>
      <c r="G54" s="23">
        <f>(G52)*'Fane 15. Nøgletal'!C33+(G53)*'Fane 15. Nøgletal'!C33</f>
        <v>3400988.4685033513</v>
      </c>
      <c r="H54" s="14" t="s">
        <v>3</v>
      </c>
      <c r="I54" s="1"/>
    </row>
    <row r="55" spans="1:9" x14ac:dyDescent="0.25">
      <c r="A55" s="1"/>
      <c r="B55" s="33"/>
      <c r="C55" s="28"/>
      <c r="D55" s="28"/>
      <c r="E55" s="28"/>
      <c r="F55" s="28"/>
      <c r="G55" s="28"/>
      <c r="H55" s="19"/>
      <c r="I55" s="1"/>
    </row>
    <row r="56" spans="1:9" x14ac:dyDescent="0.25">
      <c r="A56" s="1"/>
      <c r="B56" s="1"/>
      <c r="C56" s="1"/>
      <c r="D56" s="1"/>
      <c r="E56" s="1"/>
      <c r="F56" s="1"/>
      <c r="G56" s="1"/>
      <c r="H56" s="1"/>
      <c r="I56" s="1"/>
    </row>
    <row r="57" spans="1:9" x14ac:dyDescent="0.25">
      <c r="A57" s="1"/>
      <c r="B57" s="118" t="s">
        <v>193</v>
      </c>
      <c r="C57" s="119"/>
      <c r="D57" s="119"/>
      <c r="E57" s="119"/>
      <c r="F57" s="119"/>
      <c r="G57" s="119"/>
      <c r="H57" s="120"/>
      <c r="I57" s="1"/>
    </row>
    <row r="58" spans="1:9" x14ac:dyDescent="0.25">
      <c r="A58" s="1"/>
      <c r="B58" s="82" t="s">
        <v>212</v>
      </c>
      <c r="C58" s="83"/>
      <c r="D58" s="83"/>
      <c r="E58" s="83"/>
      <c r="F58" s="84"/>
      <c r="G58" s="23">
        <f>(G52+G53-G54)*(1+'Fane 15. Nøgletal'!C16)</f>
        <v>180113628.50116268</v>
      </c>
      <c r="H58" s="14" t="s">
        <v>3</v>
      </c>
      <c r="I58" s="1"/>
    </row>
    <row r="59" spans="1:9" x14ac:dyDescent="0.25">
      <c r="A59" s="1"/>
      <c r="B59" s="82" t="s">
        <v>211</v>
      </c>
      <c r="C59" s="83"/>
      <c r="D59" s="83"/>
      <c r="E59" s="83"/>
      <c r="F59" s="84"/>
      <c r="G59" s="23">
        <f>(G58)*'Fane 15. Nøgletal'!C33</f>
        <v>3602272.5700232536</v>
      </c>
      <c r="H59" s="14" t="s">
        <v>3</v>
      </c>
      <c r="I59" s="1"/>
    </row>
    <row r="60" spans="1:9" x14ac:dyDescent="0.25">
      <c r="A60" s="1"/>
      <c r="B60" s="33"/>
      <c r="C60" s="28"/>
      <c r="D60" s="28"/>
      <c r="E60" s="28"/>
      <c r="F60" s="28"/>
      <c r="G60" s="28"/>
      <c r="H60" s="19"/>
      <c r="I60" s="1"/>
    </row>
    <row r="61" spans="1:9" x14ac:dyDescent="0.25">
      <c r="A61" s="1"/>
      <c r="B61" s="1"/>
      <c r="C61" s="1"/>
      <c r="D61" s="1"/>
      <c r="E61" s="1"/>
      <c r="F61" s="1"/>
      <c r="G61" s="1"/>
      <c r="H61" s="1"/>
      <c r="I61" s="1"/>
    </row>
    <row r="62" spans="1:9" x14ac:dyDescent="0.25">
      <c r="A62" s="1"/>
      <c r="B62" s="118" t="s">
        <v>256</v>
      </c>
      <c r="C62" s="119"/>
      <c r="D62" s="119"/>
      <c r="E62" s="119"/>
      <c r="F62" s="119"/>
      <c r="G62" s="119"/>
      <c r="H62" s="120"/>
      <c r="I62" s="1"/>
    </row>
    <row r="63" spans="1:9" x14ac:dyDescent="0.25">
      <c r="A63" s="1"/>
      <c r="B63" s="82" t="s">
        <v>213</v>
      </c>
      <c r="C63" s="83"/>
      <c r="D63" s="83"/>
      <c r="E63" s="83"/>
      <c r="F63" s="84"/>
      <c r="G63" s="23">
        <f>(G58-G59)*(1+'Fane 15. Nøgletal'!C16)</f>
        <v>190773473.49037546</v>
      </c>
      <c r="H63" s="14" t="s">
        <v>3</v>
      </c>
      <c r="I63" s="1"/>
    </row>
    <row r="64" spans="1:9" x14ac:dyDescent="0.25">
      <c r="A64" s="1"/>
      <c r="B64" s="82" t="s">
        <v>214</v>
      </c>
      <c r="C64" s="83"/>
      <c r="D64" s="83"/>
      <c r="E64" s="83"/>
      <c r="F64" s="84"/>
      <c r="G64" s="23">
        <f>(G63)*'Fane 15. Nøgletal'!C33</f>
        <v>3815469.4698075093</v>
      </c>
      <c r="H64" s="14" t="s">
        <v>3</v>
      </c>
      <c r="I64" s="1"/>
    </row>
    <row r="65" spans="1:9" x14ac:dyDescent="0.25">
      <c r="A65" s="1"/>
      <c r="B65" s="33"/>
      <c r="C65" s="28"/>
      <c r="D65" s="28"/>
      <c r="E65" s="28"/>
      <c r="F65" s="28"/>
      <c r="G65" s="28"/>
      <c r="H65" s="19"/>
      <c r="I65" s="1"/>
    </row>
    <row r="66" spans="1:9" x14ac:dyDescent="0.25">
      <c r="A66" s="1"/>
      <c r="B66" s="1"/>
      <c r="C66" s="1"/>
      <c r="D66" s="1"/>
      <c r="E66" s="1"/>
      <c r="F66" s="1"/>
      <c r="G66" s="1"/>
      <c r="H66" s="1"/>
      <c r="I66" s="1"/>
    </row>
    <row r="67" spans="1:9" x14ac:dyDescent="0.25">
      <c r="A67" s="1"/>
      <c r="B67" s="118" t="s">
        <v>257</v>
      </c>
      <c r="C67" s="119"/>
      <c r="D67" s="119"/>
      <c r="E67" s="119"/>
      <c r="F67" s="119"/>
      <c r="G67" s="119"/>
      <c r="H67" s="120"/>
      <c r="I67" s="1"/>
    </row>
    <row r="68" spans="1:9" x14ac:dyDescent="0.25">
      <c r="A68" s="1"/>
      <c r="B68" s="82" t="s">
        <v>213</v>
      </c>
      <c r="C68" s="83"/>
      <c r="D68" s="83"/>
      <c r="E68" s="83"/>
      <c r="F68" s="84"/>
      <c r="G68" s="23">
        <f>(G63-G64)*(1+'Fane 15. Nøgletal'!C16)</f>
        <v>202064210.74542984</v>
      </c>
      <c r="H68" s="14" t="s">
        <v>3</v>
      </c>
      <c r="I68" s="1"/>
    </row>
    <row r="69" spans="1:9" x14ac:dyDescent="0.25">
      <c r="A69" s="1"/>
      <c r="B69" s="82" t="s">
        <v>214</v>
      </c>
      <c r="C69" s="83"/>
      <c r="D69" s="83"/>
      <c r="E69" s="83"/>
      <c r="F69" s="84"/>
      <c r="G69" s="23">
        <f>(G68)*'Fane 15. Nøgletal'!C33</f>
        <v>4041284.2149085971</v>
      </c>
      <c r="H69" s="14" t="s">
        <v>3</v>
      </c>
      <c r="I69" s="1"/>
    </row>
    <row r="70" spans="1:9" x14ac:dyDescent="0.25">
      <c r="A70" s="1"/>
      <c r="B70" s="33"/>
      <c r="C70" s="28"/>
      <c r="D70" s="28"/>
      <c r="E70" s="28"/>
      <c r="F70" s="28"/>
      <c r="G70" s="28"/>
      <c r="H70" s="19"/>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61"/>
      <c r="B74" s="61"/>
      <c r="C74" s="61"/>
      <c r="D74" s="61"/>
      <c r="E74" s="61"/>
      <c r="F74" s="61"/>
      <c r="G74" s="61"/>
      <c r="H74" s="61"/>
      <c r="I74" s="6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sheetData>
  <sheetProtection algorithmName="SHA-512" hashValue="vBlm9SMDwfX5owILrc1WaGK/zv4pJyQ1Qx10ZXPTAXEU7ynRMrgSHT70L/+qZqwgrbI/osEsK6GGJUobKjjbQQ==" saltValue="RdoumF4QlJxT2FynZa5+ng==" spinCount="100000" sheet="1" objects="1" scenarios="1"/>
  <mergeCells count="37">
    <mergeCell ref="B6:F6"/>
    <mergeCell ref="B2:H3"/>
    <mergeCell ref="B24:H24"/>
    <mergeCell ref="B4:H4"/>
    <mergeCell ref="B5:F5"/>
    <mergeCell ref="B7:F7"/>
    <mergeCell ref="B12:F12"/>
    <mergeCell ref="B13:F13"/>
    <mergeCell ref="B18:H18"/>
    <mergeCell ref="B14:F14"/>
    <mergeCell ref="B26:F26"/>
    <mergeCell ref="B27:F27"/>
    <mergeCell ref="B62:H62"/>
    <mergeCell ref="B11:F11"/>
    <mergeCell ref="B10:H10"/>
    <mergeCell ref="B30:H30"/>
    <mergeCell ref="B31:F31"/>
    <mergeCell ref="B36:H36"/>
    <mergeCell ref="B15:F15"/>
    <mergeCell ref="B19:F19"/>
    <mergeCell ref="B20:F20"/>
    <mergeCell ref="B21:F21"/>
    <mergeCell ref="B25:F25"/>
    <mergeCell ref="B57:H57"/>
    <mergeCell ref="B51:H51"/>
    <mergeCell ref="B52:F52"/>
    <mergeCell ref="B67:H67"/>
    <mergeCell ref="B54:F54"/>
    <mergeCell ref="B37:F37"/>
    <mergeCell ref="B32:F32"/>
    <mergeCell ref="B33:F33"/>
    <mergeCell ref="B42:H42"/>
    <mergeCell ref="B43:F43"/>
    <mergeCell ref="B45:F45"/>
    <mergeCell ref="B38:F38"/>
    <mergeCell ref="B39:F39"/>
    <mergeCell ref="B44:F4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I100"/>
  <sheetViews>
    <sheetView showGridLines="0" view="pageLayout" zoomScaleNormal="100" workbookViewId="0"/>
  </sheetViews>
  <sheetFormatPr defaultColWidth="9.140625" defaultRowHeight="15" x14ac:dyDescent="0.25"/>
  <cols>
    <col min="1" max="1" width="2.85546875" style="2" customWidth="1"/>
    <col min="2" max="5" width="9.140625" style="2"/>
    <col min="6" max="6" width="27.5703125" style="2" customWidth="1"/>
    <col min="7" max="7" width="14.140625" style="2" customWidth="1"/>
    <col min="8" max="8" width="3.28515625" style="2" customWidth="1"/>
    <col min="9" max="9" width="2.85546875" style="2" customWidth="1"/>
    <col min="10" max="16384" width="9.140625" style="2"/>
  </cols>
  <sheetData>
    <row r="1" spans="1:9" ht="14.25" customHeight="1" x14ac:dyDescent="0.25">
      <c r="A1" s="1"/>
      <c r="B1" s="133" t="s">
        <v>92</v>
      </c>
      <c r="C1" s="133"/>
      <c r="D1" s="133"/>
      <c r="E1" s="133"/>
      <c r="F1" s="133"/>
      <c r="G1" s="133"/>
      <c r="H1" s="133"/>
      <c r="I1" s="1"/>
    </row>
    <row r="2" spans="1:9" ht="15" customHeight="1" x14ac:dyDescent="0.25">
      <c r="A2" s="1"/>
      <c r="B2" s="133"/>
      <c r="C2" s="133"/>
      <c r="D2" s="133"/>
      <c r="E2" s="133"/>
      <c r="F2" s="133"/>
      <c r="G2" s="133"/>
      <c r="H2" s="133"/>
      <c r="I2" s="1"/>
    </row>
    <row r="3" spans="1:9" ht="15" customHeight="1" x14ac:dyDescent="0.25">
      <c r="A3" s="1"/>
      <c r="B3" s="134"/>
      <c r="C3" s="134"/>
      <c r="D3" s="134"/>
      <c r="E3" s="134"/>
      <c r="F3" s="134"/>
      <c r="G3" s="134"/>
      <c r="H3" s="134"/>
      <c r="I3" s="1"/>
    </row>
    <row r="4" spans="1:9" x14ac:dyDescent="0.25">
      <c r="A4" s="1"/>
      <c r="B4" s="118" t="s">
        <v>50</v>
      </c>
      <c r="C4" s="119"/>
      <c r="D4" s="119"/>
      <c r="E4" s="119"/>
      <c r="F4" s="119"/>
      <c r="G4" s="119"/>
      <c r="H4" s="120"/>
      <c r="I4" s="1"/>
    </row>
    <row r="5" spans="1:9" x14ac:dyDescent="0.25">
      <c r="A5" s="1"/>
      <c r="B5" s="121" t="s">
        <v>55</v>
      </c>
      <c r="C5" s="122"/>
      <c r="D5" s="122"/>
      <c r="E5" s="122"/>
      <c r="F5" s="123"/>
      <c r="G5" s="63">
        <v>155378061.51667443</v>
      </c>
      <c r="H5" s="14" t="s">
        <v>3</v>
      </c>
      <c r="I5" s="1"/>
    </row>
    <row r="6" spans="1:9" x14ac:dyDescent="0.25">
      <c r="A6" s="1"/>
      <c r="B6" s="121" t="s">
        <v>51</v>
      </c>
      <c r="C6" s="122"/>
      <c r="D6" s="122"/>
      <c r="E6" s="122"/>
      <c r="F6" s="123"/>
      <c r="G6" s="23">
        <f>G5*'Fane 15. Nøgletal'!C21</f>
        <v>1413940.3598017374</v>
      </c>
      <c r="H6" s="14" t="s">
        <v>3</v>
      </c>
      <c r="I6" s="1"/>
    </row>
    <row r="7" spans="1:9" x14ac:dyDescent="0.25">
      <c r="A7" s="1"/>
      <c r="B7" s="33"/>
      <c r="C7" s="28"/>
      <c r="D7" s="28"/>
      <c r="E7" s="28"/>
      <c r="F7" s="28"/>
      <c r="G7" s="28"/>
      <c r="H7" s="19"/>
      <c r="I7" s="1"/>
    </row>
    <row r="8" spans="1:9" x14ac:dyDescent="0.25">
      <c r="A8" s="1"/>
      <c r="B8" s="1"/>
      <c r="C8" s="1"/>
      <c r="D8" s="1"/>
      <c r="E8" s="1"/>
      <c r="F8" s="1"/>
      <c r="G8" s="1"/>
      <c r="H8" s="1"/>
      <c r="I8" s="1"/>
    </row>
    <row r="9" spans="1:9" x14ac:dyDescent="0.25">
      <c r="A9" s="1"/>
      <c r="B9" s="118" t="s">
        <v>56</v>
      </c>
      <c r="C9" s="119"/>
      <c r="D9" s="119"/>
      <c r="E9" s="119"/>
      <c r="F9" s="119"/>
      <c r="G9" s="119"/>
      <c r="H9" s="120"/>
      <c r="I9" s="1"/>
    </row>
    <row r="10" spans="1:9" x14ac:dyDescent="0.25">
      <c r="A10" s="1"/>
      <c r="B10" s="121" t="s">
        <v>57</v>
      </c>
      <c r="C10" s="122"/>
      <c r="D10" s="122"/>
      <c r="E10" s="122"/>
      <c r="F10" s="123"/>
      <c r="G10" s="23">
        <f>(G5-G6)*(1+'Fane 15. Nøgletal'!C10)</f>
        <v>156658493.27711797</v>
      </c>
      <c r="H10" s="14" t="s">
        <v>3</v>
      </c>
      <c r="I10" s="1"/>
    </row>
    <row r="11" spans="1:9" x14ac:dyDescent="0.25">
      <c r="A11" s="1"/>
      <c r="B11" s="121" t="s">
        <v>104</v>
      </c>
      <c r="C11" s="122"/>
      <c r="D11" s="122"/>
      <c r="E11" s="122"/>
      <c r="F11" s="123"/>
      <c r="G11" s="63">
        <v>6888501.4233687846</v>
      </c>
      <c r="H11" s="14" t="s">
        <v>3</v>
      </c>
      <c r="I11" s="1"/>
    </row>
    <row r="12" spans="1:9" x14ac:dyDescent="0.25">
      <c r="A12" s="1"/>
      <c r="B12" s="127" t="s">
        <v>247</v>
      </c>
      <c r="C12" s="128"/>
      <c r="D12" s="128"/>
      <c r="E12" s="128"/>
      <c r="F12" s="129"/>
      <c r="G12" s="66">
        <v>0</v>
      </c>
      <c r="H12" s="14" t="s">
        <v>3</v>
      </c>
      <c r="I12" s="1"/>
    </row>
    <row r="13" spans="1:9" x14ac:dyDescent="0.25">
      <c r="A13" s="1"/>
      <c r="B13" s="121" t="s">
        <v>58</v>
      </c>
      <c r="C13" s="122"/>
      <c r="D13" s="122"/>
      <c r="E13" s="122"/>
      <c r="F13" s="123"/>
      <c r="G13" s="23">
        <f>SUM(G10:G12)*'Fane 15. Nøgletal'!C22</f>
        <v>2894781.8061986156</v>
      </c>
      <c r="H13" s="14" t="s">
        <v>3</v>
      </c>
      <c r="I13" s="1"/>
    </row>
    <row r="14" spans="1:9" x14ac:dyDescent="0.25">
      <c r="A14" s="1"/>
      <c r="B14" s="33"/>
      <c r="C14" s="28"/>
      <c r="D14" s="28"/>
      <c r="E14" s="28"/>
      <c r="F14" s="28"/>
      <c r="G14" s="28"/>
      <c r="H14" s="19"/>
      <c r="I14" s="1"/>
    </row>
    <row r="15" spans="1:9" x14ac:dyDescent="0.25">
      <c r="A15" s="1"/>
      <c r="B15" s="1"/>
      <c r="C15" s="1"/>
      <c r="D15" s="1"/>
      <c r="E15" s="1"/>
      <c r="F15" s="1"/>
      <c r="G15" s="1"/>
      <c r="H15" s="1"/>
      <c r="I15" s="1"/>
    </row>
    <row r="16" spans="1:9" x14ac:dyDescent="0.25">
      <c r="A16" s="1"/>
      <c r="B16" s="118" t="s">
        <v>59</v>
      </c>
      <c r="C16" s="119"/>
      <c r="D16" s="119"/>
      <c r="E16" s="119"/>
      <c r="F16" s="119"/>
      <c r="G16" s="119"/>
      <c r="H16" s="120"/>
      <c r="I16" s="1"/>
    </row>
    <row r="17" spans="1:9" x14ac:dyDescent="0.25">
      <c r="A17" s="1"/>
      <c r="B17" s="121" t="s">
        <v>60</v>
      </c>
      <c r="C17" s="122"/>
      <c r="D17" s="122"/>
      <c r="E17" s="122"/>
      <c r="F17" s="123"/>
      <c r="G17" s="23">
        <f>(SUM(G10:G12)-G13)*(1+'Fane 15. Nøgletal'!C10)</f>
        <v>163463626.61993816</v>
      </c>
      <c r="H17" s="14" t="s">
        <v>3</v>
      </c>
      <c r="I17" s="1"/>
    </row>
    <row r="18" spans="1:9" x14ac:dyDescent="0.25">
      <c r="A18" s="1"/>
      <c r="B18" s="127" t="s">
        <v>248</v>
      </c>
      <c r="C18" s="128"/>
      <c r="D18" s="128"/>
      <c r="E18" s="128"/>
      <c r="F18" s="129"/>
      <c r="G18" s="63">
        <v>4717908.1024258388</v>
      </c>
      <c r="H18" s="14" t="s">
        <v>3</v>
      </c>
      <c r="I18" s="1"/>
    </row>
    <row r="19" spans="1:9" x14ac:dyDescent="0.25">
      <c r="A19" s="1"/>
      <c r="B19" s="121" t="s">
        <v>61</v>
      </c>
      <c r="C19" s="122"/>
      <c r="D19" s="122"/>
      <c r="E19" s="122"/>
      <c r="F19" s="123"/>
      <c r="G19" s="23">
        <f>G17*'Fane 15. Nøgletal'!C22+G18*'Fane 15. Nøgletal'!C23</f>
        <v>2934351.9916640106</v>
      </c>
      <c r="H19" s="14" t="s">
        <v>3</v>
      </c>
      <c r="I19" s="1"/>
    </row>
    <row r="20" spans="1:9" x14ac:dyDescent="0.25">
      <c r="A20" s="1"/>
      <c r="B20" s="33"/>
      <c r="C20" s="28"/>
      <c r="D20" s="28"/>
      <c r="E20" s="28"/>
      <c r="F20" s="28"/>
      <c r="G20" s="28"/>
      <c r="H20" s="19"/>
      <c r="I20" s="1"/>
    </row>
    <row r="21" spans="1:9" x14ac:dyDescent="0.25">
      <c r="A21" s="1"/>
      <c r="B21" s="1"/>
      <c r="C21" s="1"/>
      <c r="D21" s="1"/>
      <c r="E21" s="1"/>
      <c r="F21" s="1"/>
      <c r="G21" s="1"/>
      <c r="H21" s="1"/>
      <c r="I21" s="1"/>
    </row>
    <row r="22" spans="1:9" x14ac:dyDescent="0.25">
      <c r="A22" s="1"/>
      <c r="B22" s="118" t="s">
        <v>62</v>
      </c>
      <c r="C22" s="119"/>
      <c r="D22" s="119"/>
      <c r="E22" s="119"/>
      <c r="F22" s="119"/>
      <c r="G22" s="119"/>
      <c r="H22" s="120"/>
      <c r="I22" s="1"/>
    </row>
    <row r="23" spans="1:9" x14ac:dyDescent="0.25">
      <c r="A23" s="1"/>
      <c r="B23" s="121" t="s">
        <v>63</v>
      </c>
      <c r="C23" s="122"/>
      <c r="D23" s="122"/>
      <c r="E23" s="122"/>
      <c r="F23" s="123"/>
      <c r="G23" s="23">
        <f>(G17+G18-G19)*(1+'Fane 15. Nøgletal'!C12)</f>
        <v>168502552.2304948</v>
      </c>
      <c r="H23" s="14" t="s">
        <v>3</v>
      </c>
      <c r="I23" s="1"/>
    </row>
    <row r="24" spans="1:9" x14ac:dyDescent="0.25">
      <c r="A24" s="1"/>
      <c r="B24" s="127" t="s">
        <v>249</v>
      </c>
      <c r="C24" s="128"/>
      <c r="D24" s="128"/>
      <c r="E24" s="128"/>
      <c r="F24" s="129"/>
      <c r="G24" s="63">
        <v>7344752.1915702559</v>
      </c>
      <c r="H24" s="14" t="s">
        <v>3</v>
      </c>
      <c r="I24" s="1"/>
    </row>
    <row r="25" spans="1:9" x14ac:dyDescent="0.25">
      <c r="A25" s="1"/>
      <c r="B25" s="121" t="s">
        <v>64</v>
      </c>
      <c r="C25" s="122"/>
      <c r="D25" s="122"/>
      <c r="E25" s="122"/>
      <c r="F25" s="123"/>
      <c r="G25" s="23">
        <f>(G23+G24)*'Fane 15. Nøgletal'!C24</f>
        <v>4994063.4455866478</v>
      </c>
      <c r="H25" s="14" t="s">
        <v>3</v>
      </c>
      <c r="I25" s="1"/>
    </row>
    <row r="26" spans="1:9" x14ac:dyDescent="0.25">
      <c r="A26" s="1"/>
      <c r="B26" s="33"/>
      <c r="C26" s="28"/>
      <c r="D26" s="28"/>
      <c r="E26" s="28"/>
      <c r="F26" s="28"/>
      <c r="G26" s="28"/>
      <c r="H26" s="19"/>
      <c r="I26" s="1"/>
    </row>
    <row r="27" spans="1:9" x14ac:dyDescent="0.25">
      <c r="A27" s="1"/>
      <c r="B27" s="1"/>
      <c r="C27" s="1"/>
      <c r="D27" s="1"/>
      <c r="E27" s="1"/>
      <c r="F27" s="1"/>
      <c r="G27" s="1"/>
      <c r="H27" s="1"/>
      <c r="I27" s="1"/>
    </row>
    <row r="28" spans="1:9" x14ac:dyDescent="0.25">
      <c r="A28" s="1"/>
      <c r="B28" s="118" t="s">
        <v>65</v>
      </c>
      <c r="C28" s="119"/>
      <c r="D28" s="119"/>
      <c r="E28" s="119"/>
      <c r="F28" s="119"/>
      <c r="G28" s="119"/>
      <c r="H28" s="120"/>
      <c r="I28" s="1"/>
    </row>
    <row r="29" spans="1:9" x14ac:dyDescent="0.25">
      <c r="A29" s="1"/>
      <c r="B29" s="121" t="s">
        <v>66</v>
      </c>
      <c r="C29" s="122"/>
      <c r="D29" s="122"/>
      <c r="E29" s="122"/>
      <c r="F29" s="123"/>
      <c r="G29" s="23">
        <f>(G23+G24-G25)*(1+'Fane 15. Nøgletal'!C12)</f>
        <v>174219049.82371503</v>
      </c>
      <c r="H29" s="14" t="s">
        <v>3</v>
      </c>
      <c r="I29" s="1"/>
    </row>
    <row r="30" spans="1:9" x14ac:dyDescent="0.25">
      <c r="A30" s="1"/>
      <c r="B30" s="121" t="s">
        <v>250</v>
      </c>
      <c r="C30" s="122"/>
      <c r="D30" s="122"/>
      <c r="E30" s="122"/>
      <c r="F30" s="123"/>
      <c r="G30" s="63">
        <v>3871054.9312696797</v>
      </c>
      <c r="H30" s="14" t="s">
        <v>3</v>
      </c>
      <c r="I30" s="1"/>
    </row>
    <row r="31" spans="1:9" x14ac:dyDescent="0.25">
      <c r="A31" s="1"/>
      <c r="B31" s="121" t="s">
        <v>67</v>
      </c>
      <c r="C31" s="122"/>
      <c r="D31" s="122"/>
      <c r="E31" s="122"/>
      <c r="F31" s="123"/>
      <c r="G31" s="23">
        <f>G29*'Fane 15. Nøgletal'!C24+G30*'Fane 15. Nøgletal'!C25</f>
        <v>5054275.0256034238</v>
      </c>
      <c r="H31" s="14" t="s">
        <v>3</v>
      </c>
      <c r="I31" s="1"/>
    </row>
    <row r="32" spans="1:9" x14ac:dyDescent="0.25">
      <c r="A32" s="1"/>
      <c r="B32" s="33"/>
      <c r="C32" s="28"/>
      <c r="D32" s="28"/>
      <c r="E32" s="28"/>
      <c r="F32" s="28"/>
      <c r="G32" s="28"/>
      <c r="H32" s="19"/>
      <c r="I32" s="1"/>
    </row>
    <row r="33" spans="1:9" x14ac:dyDescent="0.25">
      <c r="A33" s="1"/>
      <c r="B33" s="1"/>
      <c r="C33" s="1"/>
      <c r="D33" s="1"/>
      <c r="E33" s="1"/>
      <c r="F33" s="1"/>
      <c r="G33" s="1"/>
      <c r="H33" s="1"/>
      <c r="I33" s="1"/>
    </row>
    <row r="34" spans="1:9" x14ac:dyDescent="0.25">
      <c r="A34" s="1"/>
      <c r="B34" s="118" t="s">
        <v>130</v>
      </c>
      <c r="C34" s="119"/>
      <c r="D34" s="119"/>
      <c r="E34" s="119"/>
      <c r="F34" s="119"/>
      <c r="G34" s="119"/>
      <c r="H34" s="120"/>
      <c r="I34" s="1"/>
    </row>
    <row r="35" spans="1:9" x14ac:dyDescent="0.25">
      <c r="A35" s="1"/>
      <c r="B35" s="121" t="s">
        <v>215</v>
      </c>
      <c r="C35" s="122"/>
      <c r="D35" s="122"/>
      <c r="E35" s="122"/>
      <c r="F35" s="123"/>
      <c r="G35" s="23">
        <f>(G29+G30-G31)*(1+'Fane 15. Nøgletal'!C14)</f>
        <v>173606847.96748826</v>
      </c>
      <c r="H35" s="14" t="s">
        <v>3</v>
      </c>
      <c r="I35" s="1"/>
    </row>
    <row r="36" spans="1:9" x14ac:dyDescent="0.25">
      <c r="A36" s="1"/>
      <c r="B36" s="121" t="s">
        <v>251</v>
      </c>
      <c r="C36" s="122"/>
      <c r="D36" s="122"/>
      <c r="E36" s="122"/>
      <c r="F36" s="123"/>
      <c r="G36" s="63">
        <v>700885.0437109801</v>
      </c>
      <c r="H36" s="14" t="s">
        <v>3</v>
      </c>
      <c r="I36" s="1"/>
    </row>
    <row r="37" spans="1:9" x14ac:dyDescent="0.25">
      <c r="A37" s="1"/>
      <c r="B37" s="121" t="s">
        <v>131</v>
      </c>
      <c r="C37" s="122"/>
      <c r="D37" s="122"/>
      <c r="E37" s="122"/>
      <c r="F37" s="123"/>
      <c r="G37" s="23">
        <f>(G35+G36)*'Fane 15. Nøgletal'!C26</f>
        <v>2579754.448565749</v>
      </c>
      <c r="H37" s="14" t="s">
        <v>3</v>
      </c>
      <c r="I37" s="1"/>
    </row>
    <row r="38" spans="1:9" x14ac:dyDescent="0.25">
      <c r="A38" s="1"/>
      <c r="B38" s="33"/>
      <c r="C38" s="28"/>
      <c r="D38" s="28"/>
      <c r="E38" s="28"/>
      <c r="F38" s="28"/>
      <c r="G38" s="28"/>
      <c r="H38" s="19"/>
      <c r="I38" s="1"/>
    </row>
    <row r="39" spans="1:9" x14ac:dyDescent="0.25">
      <c r="A39" s="1"/>
      <c r="B39" s="1"/>
      <c r="C39" s="1"/>
      <c r="D39" s="1"/>
      <c r="E39" s="1"/>
      <c r="F39" s="1"/>
      <c r="G39" s="1"/>
      <c r="H39" s="1"/>
      <c r="I39" s="1"/>
    </row>
    <row r="40" spans="1:9" x14ac:dyDescent="0.25">
      <c r="A40" s="1"/>
      <c r="B40" s="118" t="s">
        <v>151</v>
      </c>
      <c r="C40" s="119"/>
      <c r="D40" s="119"/>
      <c r="E40" s="119"/>
      <c r="F40" s="119"/>
      <c r="G40" s="119"/>
      <c r="H40" s="120"/>
      <c r="I40" s="1"/>
    </row>
    <row r="41" spans="1:9" x14ac:dyDescent="0.25">
      <c r="A41" s="1"/>
      <c r="B41" s="121" t="s">
        <v>216</v>
      </c>
      <c r="C41" s="122"/>
      <c r="D41" s="122"/>
      <c r="E41" s="122"/>
      <c r="F41" s="123"/>
      <c r="G41" s="23">
        <f>(G35+G36-G37)*(1+'Fane 15. Nøgletal'!C14)</f>
        <v>172294680.8918902</v>
      </c>
      <c r="H41" s="14" t="s">
        <v>3</v>
      </c>
      <c r="I41" s="1"/>
    </row>
    <row r="42" spans="1:9" x14ac:dyDescent="0.25">
      <c r="A42" s="1"/>
      <c r="B42" s="40" t="s">
        <v>156</v>
      </c>
      <c r="C42" s="83"/>
      <c r="D42" s="83"/>
      <c r="E42" s="83"/>
      <c r="F42" s="84"/>
      <c r="G42" s="73">
        <v>473608.86107959202</v>
      </c>
      <c r="H42" s="14" t="s">
        <v>3</v>
      </c>
      <c r="I42" s="1"/>
    </row>
    <row r="43" spans="1:9" x14ac:dyDescent="0.25">
      <c r="A43" s="1"/>
      <c r="B43" s="121" t="s">
        <v>132</v>
      </c>
      <c r="C43" s="122"/>
      <c r="D43" s="122"/>
      <c r="E43" s="122"/>
      <c r="F43" s="123"/>
      <c r="G43" s="23">
        <f>(G41)*'Fane 15. Nøgletal'!C26+G42*'Fane 15. Nøgletal'!C27</f>
        <v>2549961.2771999752</v>
      </c>
      <c r="H43" s="14" t="s">
        <v>3</v>
      </c>
      <c r="I43" s="1"/>
    </row>
    <row r="44" spans="1:9" x14ac:dyDescent="0.25">
      <c r="A44" s="1"/>
      <c r="B44" s="33"/>
      <c r="C44" s="28"/>
      <c r="D44" s="28"/>
      <c r="E44" s="28"/>
      <c r="F44" s="28"/>
      <c r="G44" s="28"/>
      <c r="H44" s="19"/>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
      <c r="C51" s="1"/>
      <c r="D51" s="1"/>
      <c r="E51" s="1"/>
      <c r="F51" s="1"/>
      <c r="G51" s="1"/>
      <c r="H51" s="1"/>
      <c r="I51" s="1"/>
    </row>
    <row r="52" spans="1:9" x14ac:dyDescent="0.25">
      <c r="A52" s="1"/>
      <c r="B52" s="118" t="s">
        <v>259</v>
      </c>
      <c r="C52" s="119"/>
      <c r="D52" s="119"/>
      <c r="E52" s="119"/>
      <c r="F52" s="119"/>
      <c r="G52" s="119"/>
      <c r="H52" s="120"/>
      <c r="I52" s="1"/>
    </row>
    <row r="53" spans="1:9" x14ac:dyDescent="0.25">
      <c r="A53" s="1"/>
      <c r="B53" s="121" t="s">
        <v>217</v>
      </c>
      <c r="C53" s="122"/>
      <c r="D53" s="122"/>
      <c r="E53" s="122"/>
      <c r="F53" s="123"/>
      <c r="G53" s="23">
        <f>(G41+G42-G43)*(1+'Fane 15. Nøgletal'!C16)</f>
        <v>183971969.41661203</v>
      </c>
      <c r="H53" s="14" t="s">
        <v>3</v>
      </c>
      <c r="I53" s="1"/>
    </row>
    <row r="54" spans="1:9" x14ac:dyDescent="0.25">
      <c r="A54" s="1"/>
      <c r="B54" s="82" t="s">
        <v>195</v>
      </c>
      <c r="C54" s="83"/>
      <c r="D54" s="83"/>
      <c r="E54" s="83"/>
      <c r="F54" s="84"/>
      <c r="G54" s="74">
        <f>('Fane 2.1. Økonomisk ramme 2024'!C11+'Fane 2.1. Økonomisk ramme 2024'!C13+'Fane 2.1. Økonomisk ramme 2024'!C15)*(1+'Fane 15. Nøgletal'!C16)</f>
        <v>0</v>
      </c>
      <c r="H54" s="14" t="s">
        <v>3</v>
      </c>
      <c r="I54" s="1"/>
    </row>
    <row r="55" spans="1:9" x14ac:dyDescent="0.25">
      <c r="A55" s="1"/>
      <c r="B55" s="121" t="s">
        <v>218</v>
      </c>
      <c r="C55" s="122"/>
      <c r="D55" s="122"/>
      <c r="E55" s="122"/>
      <c r="F55" s="123"/>
      <c r="G55" s="74">
        <f>SUM(G53:G54)*'Fane 15. Nøgletal'!C28</f>
        <v>0</v>
      </c>
      <c r="H55" s="14" t="s">
        <v>3</v>
      </c>
      <c r="I55" s="1"/>
    </row>
    <row r="56" spans="1:9" x14ac:dyDescent="0.25">
      <c r="A56" s="1"/>
      <c r="B56" s="33"/>
      <c r="C56" s="28"/>
      <c r="D56" s="28"/>
      <c r="E56" s="28"/>
      <c r="F56" s="28"/>
      <c r="G56" s="28"/>
      <c r="H56" s="19"/>
      <c r="I56" s="1"/>
    </row>
    <row r="57" spans="1:9" x14ac:dyDescent="0.25">
      <c r="A57" s="1"/>
      <c r="B57" s="1"/>
      <c r="C57" s="1"/>
      <c r="D57" s="1"/>
      <c r="E57" s="1"/>
      <c r="F57" s="1"/>
      <c r="G57" s="1"/>
      <c r="H57" s="1"/>
      <c r="I57" s="1"/>
    </row>
    <row r="58" spans="1:9" x14ac:dyDescent="0.25">
      <c r="A58" s="1"/>
      <c r="B58" s="118" t="s">
        <v>258</v>
      </c>
      <c r="C58" s="119"/>
      <c r="D58" s="119"/>
      <c r="E58" s="119"/>
      <c r="F58" s="119"/>
      <c r="G58" s="119"/>
      <c r="H58" s="120"/>
      <c r="I58" s="1"/>
    </row>
    <row r="59" spans="1:9" x14ac:dyDescent="0.25">
      <c r="A59" s="1"/>
      <c r="B59" s="121" t="s">
        <v>219</v>
      </c>
      <c r="C59" s="122"/>
      <c r="D59" s="122"/>
      <c r="E59" s="122"/>
      <c r="F59" s="123"/>
      <c r="G59" s="23">
        <f>(G53+G54-G55)*(1+'Fane 15. Nøgletal'!C16)</f>
        <v>198836904.54547429</v>
      </c>
      <c r="H59" s="14" t="s">
        <v>3</v>
      </c>
      <c r="I59" s="1"/>
    </row>
    <row r="60" spans="1:9" x14ac:dyDescent="0.25">
      <c r="A60" s="1"/>
      <c r="B60" s="121" t="s">
        <v>220</v>
      </c>
      <c r="C60" s="122"/>
      <c r="D60" s="122"/>
      <c r="E60" s="122"/>
      <c r="F60" s="123"/>
      <c r="G60" s="74">
        <f>(G59)*'Fane 15. Nøgletal'!C28</f>
        <v>0</v>
      </c>
      <c r="H60" s="14" t="s">
        <v>3</v>
      </c>
      <c r="I60" s="1"/>
    </row>
    <row r="61" spans="1:9" x14ac:dyDescent="0.25">
      <c r="A61" s="1"/>
      <c r="B61" s="33"/>
      <c r="C61" s="28"/>
      <c r="D61" s="28"/>
      <c r="E61" s="28"/>
      <c r="F61" s="28"/>
      <c r="G61" s="28"/>
      <c r="H61" s="19"/>
      <c r="I61" s="1"/>
    </row>
    <row r="62" spans="1:9" x14ac:dyDescent="0.25">
      <c r="A62" s="1"/>
      <c r="B62" s="1"/>
      <c r="C62" s="1"/>
      <c r="D62" s="1"/>
      <c r="E62" s="1"/>
      <c r="F62" s="1"/>
      <c r="G62" s="1"/>
      <c r="H62" s="1"/>
      <c r="I62" s="1"/>
    </row>
    <row r="63" spans="1:9" x14ac:dyDescent="0.25">
      <c r="A63" s="1"/>
      <c r="B63" s="118" t="s">
        <v>141</v>
      </c>
      <c r="C63" s="119"/>
      <c r="D63" s="119"/>
      <c r="E63" s="119"/>
      <c r="F63" s="119"/>
      <c r="G63" s="119"/>
      <c r="H63" s="120"/>
      <c r="I63" s="1"/>
    </row>
    <row r="64" spans="1:9" x14ac:dyDescent="0.25">
      <c r="A64" s="1"/>
      <c r="B64" s="121" t="s">
        <v>221</v>
      </c>
      <c r="C64" s="122"/>
      <c r="D64" s="122"/>
      <c r="E64" s="122"/>
      <c r="F64" s="123"/>
      <c r="G64" s="23">
        <f>(G59-G60)*(1+'Fane 15. Nøgletal'!C16)</f>
        <v>214902926.43274862</v>
      </c>
      <c r="H64" s="14" t="s">
        <v>3</v>
      </c>
      <c r="I64" s="1"/>
    </row>
    <row r="65" spans="1:9" x14ac:dyDescent="0.25">
      <c r="A65" s="1"/>
      <c r="B65" s="121" t="s">
        <v>222</v>
      </c>
      <c r="C65" s="122"/>
      <c r="D65" s="122"/>
      <c r="E65" s="122"/>
      <c r="F65" s="123"/>
      <c r="G65" s="74">
        <f>(G64)*'Fane 15. Nøgletal'!C28</f>
        <v>0</v>
      </c>
      <c r="H65" s="14" t="s">
        <v>3</v>
      </c>
      <c r="I65" s="1"/>
    </row>
    <row r="66" spans="1:9" x14ac:dyDescent="0.25">
      <c r="A66" s="1"/>
      <c r="B66" s="33"/>
      <c r="C66" s="28"/>
      <c r="D66" s="28"/>
      <c r="E66" s="28"/>
      <c r="F66" s="28"/>
      <c r="G66" s="28"/>
      <c r="H66" s="19"/>
      <c r="I66" s="1"/>
    </row>
    <row r="67" spans="1:9" x14ac:dyDescent="0.25">
      <c r="A67" s="1"/>
      <c r="B67" s="1"/>
      <c r="C67" s="1"/>
      <c r="D67" s="1"/>
      <c r="E67" s="1"/>
      <c r="F67" s="1"/>
      <c r="G67" s="1"/>
      <c r="H67" s="1"/>
      <c r="I67" s="1"/>
    </row>
    <row r="68" spans="1:9" x14ac:dyDescent="0.25">
      <c r="A68" s="1"/>
      <c r="B68" s="118" t="s">
        <v>223</v>
      </c>
      <c r="C68" s="119"/>
      <c r="D68" s="119"/>
      <c r="E68" s="119"/>
      <c r="F68" s="119"/>
      <c r="G68" s="119"/>
      <c r="H68" s="120"/>
      <c r="I68" s="1"/>
    </row>
    <row r="69" spans="1:9" x14ac:dyDescent="0.25">
      <c r="A69" s="1"/>
      <c r="B69" s="121" t="s">
        <v>221</v>
      </c>
      <c r="C69" s="122"/>
      <c r="D69" s="122"/>
      <c r="E69" s="122"/>
      <c r="F69" s="123"/>
      <c r="G69" s="23">
        <f>(G64-G65)*(1+'Fane 15. Nøgletal'!C16)</f>
        <v>232267082.8885147</v>
      </c>
      <c r="H69" s="14" t="s">
        <v>3</v>
      </c>
      <c r="I69" s="1"/>
    </row>
    <row r="70" spans="1:9" x14ac:dyDescent="0.25">
      <c r="A70" s="1"/>
      <c r="B70" s="121" t="s">
        <v>222</v>
      </c>
      <c r="C70" s="122"/>
      <c r="D70" s="122"/>
      <c r="E70" s="122"/>
      <c r="F70" s="123"/>
      <c r="G70" s="74">
        <f>(G69)*'Fane 15. Nøgletal'!C28</f>
        <v>0</v>
      </c>
      <c r="H70" s="14" t="s">
        <v>3</v>
      </c>
      <c r="I70" s="1"/>
    </row>
    <row r="71" spans="1:9" x14ac:dyDescent="0.25">
      <c r="A71" s="1"/>
      <c r="B71" s="33"/>
      <c r="C71" s="28"/>
      <c r="D71" s="28"/>
      <c r="E71" s="28"/>
      <c r="F71" s="28"/>
      <c r="G71" s="28"/>
      <c r="H71" s="19"/>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row r="100" spans="1:9" x14ac:dyDescent="0.25">
      <c r="A100" s="61"/>
      <c r="B100" s="61"/>
      <c r="C100" s="61"/>
      <c r="D100" s="61"/>
      <c r="E100" s="61"/>
      <c r="F100" s="61"/>
      <c r="G100" s="61"/>
      <c r="H100" s="61"/>
      <c r="I100" s="61"/>
    </row>
  </sheetData>
  <sheetProtection algorithmName="SHA-512" hashValue="lXSoySeWiRhnjDv1GZL6T0hlZqtjb21IFO10/DYbIomvKYM2ikIAGFbGAmq4fN/zypFgSo0TuQh2LAotFhDfmQ==" saltValue="BnIzP0B1Xr5dHrhxmw4XyA==" spinCount="100000" sheet="1" objects="1" scenarios="1"/>
  <mergeCells count="40">
    <mergeCell ref="B68:H68"/>
    <mergeCell ref="B69:F69"/>
    <mergeCell ref="B70:F70"/>
    <mergeCell ref="B63:H63"/>
    <mergeCell ref="B64:F64"/>
    <mergeCell ref="B65:F65"/>
    <mergeCell ref="B1:H3"/>
    <mergeCell ref="B52:H52"/>
    <mergeCell ref="B53:F53"/>
    <mergeCell ref="B55:F55"/>
    <mergeCell ref="B35:F35"/>
    <mergeCell ref="B43:F43"/>
    <mergeCell ref="B19:F19"/>
    <mergeCell ref="B4:H4"/>
    <mergeCell ref="B5:F5"/>
    <mergeCell ref="B6:F6"/>
    <mergeCell ref="B9:H9"/>
    <mergeCell ref="B11:F11"/>
    <mergeCell ref="B23:F23"/>
    <mergeCell ref="B10:F10"/>
    <mergeCell ref="B12:F12"/>
    <mergeCell ref="B13:F13"/>
    <mergeCell ref="B16:H16"/>
    <mergeCell ref="B17:F17"/>
    <mergeCell ref="B31:F31"/>
    <mergeCell ref="B34:H34"/>
    <mergeCell ref="B36:F36"/>
    <mergeCell ref="B24:F24"/>
    <mergeCell ref="B25:F25"/>
    <mergeCell ref="B18:F18"/>
    <mergeCell ref="B30:F30"/>
    <mergeCell ref="B22:H22"/>
    <mergeCell ref="B28:H28"/>
    <mergeCell ref="B29:F29"/>
    <mergeCell ref="B58:H58"/>
    <mergeCell ref="B59:F59"/>
    <mergeCell ref="B60:F60"/>
    <mergeCell ref="B41:F41"/>
    <mergeCell ref="B37:F37"/>
    <mergeCell ref="B40:H4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H48"/>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4" t="s">
        <v>76</v>
      </c>
      <c r="C3" s="114"/>
      <c r="D3" s="114"/>
      <c r="E3" s="114"/>
      <c r="F3" s="114"/>
      <c r="G3" s="114"/>
      <c r="H3" s="1"/>
    </row>
    <row r="4" spans="1:8" ht="15" customHeight="1" x14ac:dyDescent="0.25">
      <c r="A4" s="1"/>
      <c r="B4" s="114"/>
      <c r="C4" s="114"/>
      <c r="D4" s="114"/>
      <c r="E4" s="114"/>
      <c r="F4" s="114"/>
      <c r="G4" s="114"/>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18" t="s">
        <v>10</v>
      </c>
      <c r="C8" s="119"/>
      <c r="D8" s="119"/>
      <c r="E8" s="119"/>
      <c r="F8" s="119"/>
      <c r="G8" s="120"/>
      <c r="H8" s="1"/>
    </row>
    <row r="9" spans="1:8" x14ac:dyDescent="0.25">
      <c r="A9" s="1"/>
      <c r="B9" s="121" t="s">
        <v>271</v>
      </c>
      <c r="C9" s="122"/>
      <c r="D9" s="122"/>
      <c r="E9" s="122"/>
      <c r="F9" s="123"/>
      <c r="G9" s="22">
        <v>5.9681018171613021E-3</v>
      </c>
      <c r="H9" s="1"/>
    </row>
    <row r="10" spans="1:8" x14ac:dyDescent="0.25">
      <c r="A10" s="1"/>
      <c r="B10" s="33"/>
      <c r="C10" s="28"/>
      <c r="D10" s="28"/>
      <c r="E10" s="28"/>
      <c r="F10" s="28"/>
      <c r="G10" s="19"/>
      <c r="H10" s="1"/>
    </row>
    <row r="11" spans="1:8" ht="33" customHeight="1" x14ac:dyDescent="0.25">
      <c r="A11" s="1"/>
      <c r="B11" s="135" t="s">
        <v>264</v>
      </c>
      <c r="C11" s="135"/>
      <c r="D11" s="135"/>
      <c r="E11" s="135"/>
      <c r="F11" s="135"/>
      <c r="G11" s="135"/>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sheetData>
  <sheetProtection algorithmName="SHA-512" hashValue="TbosSkhYVgX6bbTOu3W0424stJJAIv80jHTXKyx9HEo5Rfcz/yBMDYNe1I8rnX4oObLbTmUlzjMThaTN2VrblQ==" saltValue="SoIgQdE++HTw2jbTqsZ1Aw=="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8</vt:i4>
      </vt:variant>
    </vt:vector>
  </HeadingPairs>
  <TitlesOfParts>
    <vt:vector size="28"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Korrektion af ØR2022</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Tabel_Fane_13</vt:lpstr>
      <vt:lpstr>Tabel_Fane_14</vt:lpstr>
      <vt:lpstr>Tabel_Fane_2_1</vt:lpstr>
      <vt:lpstr>Tabel_Fane_2_2</vt:lpstr>
      <vt:lpstr>Tabel_Fane_2_3</vt:lpstr>
      <vt:lpstr>Tabel_Fane_2_4</vt:lpstr>
      <vt:lpstr>Tabel_Fane_3</vt:lpstr>
      <vt:lpstr>Tabel_Fane_8</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2016-06-14T12:57:30Z</cp:lastPrinted>
  <dcterms:created xsi:type="dcterms:W3CDTF">2016-06-02T08:51:18Z</dcterms:created>
  <dcterms:modified xsi:type="dcterms:W3CDTF">2023-11-29T17:42:35Z</dcterms:modified>
</cp:coreProperties>
</file>