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Assens Spildevand AS (S006)\ØR2025\"/>
    </mc:Choice>
  </mc:AlternateContent>
  <xr:revisionPtr revIDLastSave="0" documentId="13_ncr:1_{6D60AD6C-8986-4D63-87DD-101CA6B99517}" xr6:coauthVersionLast="36" xr6:coauthVersionMax="36" xr10:uidLastSave="{00000000-0000-0000-0000-000000000000}"/>
  <bookViews>
    <workbookView xWindow="3120" yWindow="996" windowWidth="12756"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J17" i="11" l="1"/>
  <c r="H17" i="11"/>
  <c r="F11" i="11"/>
  <c r="F12" i="11"/>
  <c r="F13" i="11"/>
  <c r="F14" i="11"/>
  <c r="F15" i="11"/>
  <c r="F16" i="11"/>
  <c r="F10" i="11" l="1"/>
  <c r="F17" i="11" s="1"/>
  <c r="C11" i="29"/>
  <c r="C10" i="36" l="1"/>
  <c r="C10" i="30"/>
  <c r="C20" i="23" l="1"/>
  <c r="C22" i="22"/>
  <c r="C22" i="15"/>
  <c r="C36" i="2"/>
  <c r="C11" i="30" l="1"/>
  <c r="C15" i="30" s="1"/>
  <c r="C29" i="20" l="1"/>
  <c r="C28" i="20"/>
  <c r="C23" i="20"/>
  <c r="C22" i="20"/>
  <c r="C24" i="20" l="1"/>
  <c r="C30" i="20"/>
  <c r="C18" i="41"/>
  <c r="C16" i="20" l="1"/>
  <c r="C10" i="20"/>
  <c r="C32" i="2" l="1"/>
  <c r="C31" i="43"/>
  <c r="C33" i="43" l="1"/>
  <c r="C20" i="22" l="1"/>
  <c r="C20" i="15"/>
  <c r="C12" i="29" l="1"/>
  <c r="E11" i="29"/>
  <c r="E12" i="29" s="1"/>
  <c r="E13" i="39"/>
  <c r="E14" i="39" s="1"/>
  <c r="C13" i="39"/>
  <c r="C14" i="39" s="1"/>
  <c r="C10" i="37"/>
  <c r="C20" i="19"/>
  <c r="C21" i="19" s="1"/>
  <c r="C16" i="23" l="1"/>
  <c r="C16" i="15"/>
  <c r="C16" i="22"/>
  <c r="E10" i="37"/>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l="1"/>
  <c r="C11" i="36"/>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<sst xmlns="http://schemas.openxmlformats.org/spreadsheetml/2006/main" count="578" uniqueCount="240">
  <si>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</si>
  <si>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</si>
  <si>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</si>
  <si>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</si>
  <si>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</si>
  <si>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</si>
  <si>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</si>
  <si>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</si>
  <si>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</si>
  <si>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</si>
  <si>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</si>
  <si>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</si>
  <si>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</si>
  <si>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</si>
  <si>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</si>
  <si>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</si>
  <si>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</si>
  <si>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</si>
  <si>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</si>
  <si>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</si>
  <si>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</si>
  <si>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</si>
  <si>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</si>
  <si>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</si>
  <si>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</si>
  <si>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</si>
  <si>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</si>
  <si>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</si>
  <si>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</si>
  <si>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</si>
  <si>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</si>
  <si>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</si>
  <si>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</si>
  <si>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</si>
  <si>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</si>
  <si>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</si>
  <si>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</si>
  <si>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</si>
  <si>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</si>
  <si>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</si>
  <si>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</si>
  <si>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</si>
  <si>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</si>
  <si>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</si>
  <si>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</si>
  <si>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</si>
  <si>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</si>
  <si>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</si>
  <si>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</si>
  <si>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</si>
  <si>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</si>
  <si>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</si>
  <si>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</si>
  <si>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</si>
  <si>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</si>
  <si>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</si>
  <si>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</si>
  <si>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</si>
  <si>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</si>
  <si>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</si>
  <si>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</si>
  <si>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</si>
  <si>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</si>
  <si>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</si>
  <si>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</si>
  <si>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</si>
  <si>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</si>
  <si>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</si>
  <si>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</si>
  <si>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</si>
  <si>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</si>
  <si>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</si>
  <si>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</si>
  <si>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</si>
  <si>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</si>
  <si>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</si>
  <si>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</si>
  <si>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</si>
  <si>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</si>
  <si>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</si>
  <si>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</si>
  <si>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</si>
  <si>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</si>
  <si>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</si>
  <si>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</si>
  <si>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</si>
  <si>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</si>
  <si>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</si>
  <si>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</si>
  <si>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</si>
  <si>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</si>
  <si>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</si>
  <si>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</si>
  <si>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</si>
  <si>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</si>
  <si>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</si>
  <si>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</si>
  <si>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</si>
  <si>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</si>
  <si>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</si>
  <si>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</si>
  <si>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</si>
  <si>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</si>
  <si>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</si>
  <si>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</si>
  <si>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</si>
  <si>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</si>
  <si>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</si>
  <si>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</si>
  <si>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</si>
  <si>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</si>
  <si>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</si>
  <si>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</si>
  <si>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</si>
  <si>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</si>
  <si>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</si>
  <si>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</si>
  <si>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</si>
  <si>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</si>
  <si>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</si>
  <si>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</si>
  <si>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</si>
  <si>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</si>
  <si>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</si>
  <si>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</si>
  <si>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</si>
  <si>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</si>
  <si>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</si>
  <si>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</si>
  <si>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</si>
  <si>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</si>
  <si>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</si>
  <si>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</si>
  <si>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</si>
  <si>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</si>
  <si>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</si>
  <si>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</si>
  <si>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</si>
  <si>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</si>
  <si>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</si>
  <si>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</si>
  <si>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</si>
  <si>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</si>
  <si>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</si>
  <si>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</si>
  <si>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</si>
  <si>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</si>
  <si>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</si>
  <si>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</si>
  <si>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</si>
  <si>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</si>
  <si>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</si>
  <si>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</si>
  <si>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</si>
  <si>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</si>
  <si>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</si>
  <si>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</si>
  <si>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</si>
  <si>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</si>
  <si>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</si>
  <si>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</si>
  <si>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</si>
  <si>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</si>
  <si>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</si>
  <si>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</si>
  <si>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</si>
  <si>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</si>
  <si>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</si>
  <si>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</si>
  <si>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</si>
  <si>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</si>
  <si>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</si>
  <si>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</si>
  <si>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</si>
  <si>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</si>
  <si>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</si>
  <si>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</si>
  <si>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</si>
  <si>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</si>
  <si>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</si>
  <si>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</si>
  <si>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</si>
  <si>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</si>
  <si>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</si>
  <si>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</si>
  <si>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</si>
  <si>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</si>
  <si>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</si>
  <si>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</si>
  <si>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</si>
  <si>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</si>
  <si>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</si>
  <si>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</si>
  <si>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</si>
  <si>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</si>
  <si>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</si>
  <si>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</si>
  <si>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</si>
  <si>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</si>
  <si>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</si>
  <si>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</si>
  <si>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</si>
  <si>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</si>
  <si>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</si>
  <si>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</si>
  <si>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</si>
  <si>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</si>
  <si>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</si>
  <si>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</si>
  <si>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</si>
  <si>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</si>
  <si>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</si>
  <si>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</si>
  <si>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</si>
  <si>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</si>
  <si>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</si>
  <si>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</si>
  <si>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</si>
  <si>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</si>
  <si>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</si>
  <si>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</si>
  <si>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</si>
  <si>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Brønde</t>
  </si>
  <si>
    <t>Ledningsnet &gt; Ø 1600 mm (rørbassiner og transportledninger)</t>
  </si>
  <si>
    <t>Ledningsnet ≤ Ø 200 mm</t>
  </si>
  <si>
    <t>Stik</t>
  </si>
  <si>
    <t>Ø 1200 mm &lt; Ledningsnet ≤ Ø 1600 mm</t>
  </si>
  <si>
    <t>Ø 200 mm &lt; Ledningsnet ≤ Ø 500 mm</t>
  </si>
  <si>
    <t>Ø 500 mm &lt; Ledningsnet ≤ Ø 800 mm</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</si>
  <si>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</si>
  <si>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</si>
  <si>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</si>
  <si>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</si>
  <si>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Udvidelse af forsyningsområdet 2023</t>
  </si>
  <si>
    <t>Ingen engangstillæg</t>
  </si>
  <si>
    <t>Afgift til Forsyningssekretariatet</t>
  </si>
  <si>
    <t>Køb af ydelser og produkter fra andre vandselskaber reguleret af vandsektorloven</t>
  </si>
  <si>
    <t>Ejendomsskatter</t>
  </si>
  <si>
    <t>Erstatninger</t>
  </si>
  <si>
    <t>Gebyr til Miljøstyrelsen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</si>
</sst>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8" borderId="3" xfId="0" applyNumberFormat="1" applyFont="1" applyFill="1" applyBorder="1" applyProtection="1"/>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8" width="0" style="2" hidden="1" customWidth="1"/>
    <col min="9"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97" t="s">
        <v>4</v>
      </c>
      <c r="D6" s="97"/>
      <c r="E6" s="97"/>
      <c r="F6" s="97"/>
      <c r="G6" s="3"/>
    </row>
    <row r="7" spans="1:7" ht="15" customHeight="1" x14ac:dyDescent="0.3">
      <c r="A7" s="1"/>
      <c r="B7" s="3"/>
      <c r="C7" s="97"/>
      <c r="D7" s="97"/>
      <c r="E7" s="97"/>
      <c r="F7" s="97"/>
      <c r="G7" s="3"/>
    </row>
    <row r="8" spans="1:7" ht="15.6" x14ac:dyDescent="0.3">
      <c r="A8" s="1"/>
      <c r="B8" s="4"/>
      <c r="C8" s="102" t="s">
        <v>232</v>
      </c>
      <c r="D8" s="102"/>
      <c r="E8" s="102"/>
      <c r="F8" s="102"/>
      <c r="G8" s="4"/>
    </row>
    <row r="9" spans="1:7" x14ac:dyDescent="0.3">
      <c r="A9" s="1"/>
      <c r="B9" s="5"/>
      <c r="C9" s="5"/>
      <c r="D9" s="5"/>
      <c r="E9" s="5"/>
      <c r="F9" s="5"/>
      <c r="G9" s="5"/>
    </row>
    <row r="10" spans="1:7" x14ac:dyDescent="0.3">
      <c r="A10" s="1"/>
      <c r="B10" s="5"/>
      <c r="C10" s="5"/>
      <c r="D10" s="5"/>
      <c r="E10" s="5"/>
      <c r="F10" s="5"/>
      <c r="G10" s="5"/>
    </row>
    <row r="11" spans="1:7" x14ac:dyDescent="0.3">
      <c r="A11" s="1"/>
      <c r="B11" s="5"/>
      <c r="C11" s="101" t="s">
        <v>5</v>
      </c>
      <c r="D11" s="101"/>
      <c r="E11" s="101"/>
      <c r="F11" s="101"/>
      <c r="G11" s="5"/>
    </row>
    <row r="12" spans="1:7" x14ac:dyDescent="0.3">
      <c r="A12" s="1"/>
      <c r="B12" s="1"/>
      <c r="C12" s="1"/>
      <c r="D12" s="1"/>
      <c r="E12" s="1"/>
      <c r="F12" s="1"/>
      <c r="G12" s="5"/>
    </row>
    <row r="13" spans="1:7" x14ac:dyDescent="0.3">
      <c r="A13" s="1"/>
      <c r="B13" s="6" t="s">
        <v>6</v>
      </c>
      <c r="C13" s="103" t="s">
        <v>127</v>
      </c>
      <c r="D13" s="104"/>
      <c r="E13" s="104"/>
      <c r="F13" s="105"/>
      <c r="G13" s="5"/>
    </row>
    <row r="14" spans="1:7" x14ac:dyDescent="0.3">
      <c r="A14" s="1"/>
      <c r="B14" s="6" t="s">
        <v>16</v>
      </c>
      <c r="C14" s="94" t="s">
        <v>186</v>
      </c>
      <c r="D14" s="95"/>
      <c r="E14" s="95"/>
      <c r="F14" s="96"/>
      <c r="G14" s="5"/>
    </row>
    <row r="15" spans="1:7" x14ac:dyDescent="0.3">
      <c r="A15" s="1"/>
      <c r="B15" s="6" t="s">
        <v>30</v>
      </c>
      <c r="C15" s="94" t="s">
        <v>149</v>
      </c>
      <c r="D15" s="95"/>
      <c r="E15" s="95"/>
      <c r="F15" s="96"/>
      <c r="G15" s="5"/>
    </row>
    <row r="16" spans="1:7" x14ac:dyDescent="0.3">
      <c r="A16" s="1"/>
      <c r="B16" s="6" t="s">
        <v>31</v>
      </c>
      <c r="C16" s="94" t="s">
        <v>151</v>
      </c>
      <c r="D16" s="95"/>
      <c r="E16" s="95"/>
      <c r="F16" s="96"/>
      <c r="G16" s="5"/>
    </row>
    <row r="17" spans="1:8" x14ac:dyDescent="0.3">
      <c r="A17" s="1"/>
      <c r="B17" s="6" t="s">
        <v>61</v>
      </c>
      <c r="C17" s="94" t="s">
        <v>152</v>
      </c>
      <c r="D17" s="95"/>
      <c r="E17" s="95"/>
      <c r="F17" s="96"/>
      <c r="G17" s="5"/>
    </row>
    <row r="18" spans="1:8" x14ac:dyDescent="0.3">
      <c r="A18" s="1"/>
      <c r="B18" s="6" t="s">
        <v>53</v>
      </c>
      <c r="C18" s="91" t="s">
        <v>45</v>
      </c>
      <c r="D18" s="92"/>
      <c r="E18" s="92"/>
      <c r="F18" s="93"/>
      <c r="G18" s="5"/>
    </row>
    <row r="19" spans="1:8" x14ac:dyDescent="0.3">
      <c r="A19" s="1"/>
      <c r="B19" s="6" t="s">
        <v>54</v>
      </c>
      <c r="C19" s="91" t="s">
        <v>46</v>
      </c>
      <c r="D19" s="92"/>
      <c r="E19" s="92"/>
      <c r="F19" s="93"/>
      <c r="G19" s="5"/>
    </row>
    <row r="20" spans="1:8" x14ac:dyDescent="0.3">
      <c r="A20" s="1"/>
      <c r="B20" s="6" t="s">
        <v>7</v>
      </c>
      <c r="C20" s="91" t="s">
        <v>10</v>
      </c>
      <c r="D20" s="92"/>
      <c r="E20" s="92"/>
      <c r="F20" s="93"/>
      <c r="G20" s="5"/>
    </row>
    <row r="21" spans="1:8" x14ac:dyDescent="0.3">
      <c r="A21" s="1"/>
      <c r="B21" s="6" t="s">
        <v>55</v>
      </c>
      <c r="C21" s="98" t="s">
        <v>12</v>
      </c>
      <c r="D21" s="99"/>
      <c r="E21" s="99"/>
      <c r="F21" s="100"/>
      <c r="G21" s="5"/>
    </row>
    <row r="22" spans="1:8" x14ac:dyDescent="0.3">
      <c r="A22" s="1"/>
      <c r="B22" s="6" t="s">
        <v>39</v>
      </c>
      <c r="C22" s="85" t="s">
        <v>153</v>
      </c>
      <c r="D22" s="86"/>
      <c r="E22" s="86"/>
      <c r="F22" s="87"/>
      <c r="G22" s="5"/>
    </row>
    <row r="23" spans="1:8" x14ac:dyDescent="0.3">
      <c r="A23" s="1"/>
      <c r="B23" s="6" t="s">
        <v>8</v>
      </c>
      <c r="C23" s="85" t="s">
        <v>112</v>
      </c>
      <c r="D23" s="86"/>
      <c r="E23" s="86"/>
      <c r="F23" s="87"/>
      <c r="G23" s="5"/>
    </row>
    <row r="24" spans="1:8" x14ac:dyDescent="0.3">
      <c r="A24" s="1"/>
      <c r="B24" s="6" t="s">
        <v>9</v>
      </c>
      <c r="C24" s="85" t="s">
        <v>154</v>
      </c>
      <c r="D24" s="86"/>
      <c r="E24" s="86"/>
      <c r="F24" s="87"/>
      <c r="G24" s="5"/>
    </row>
    <row r="25" spans="1:8" x14ac:dyDescent="0.3">
      <c r="A25" s="1"/>
      <c r="B25" s="6" t="s">
        <v>97</v>
      </c>
      <c r="C25" s="85" t="s">
        <v>91</v>
      </c>
      <c r="D25" s="86"/>
      <c r="E25" s="86"/>
      <c r="F25" s="87"/>
      <c r="G25" s="1"/>
    </row>
    <row r="26" spans="1:8" x14ac:dyDescent="0.3">
      <c r="A26" s="1"/>
      <c r="B26" s="6" t="s">
        <v>98</v>
      </c>
      <c r="C26" s="85" t="s">
        <v>40</v>
      </c>
      <c r="D26" s="86"/>
      <c r="E26" s="86"/>
      <c r="F26" s="87"/>
      <c r="G26" s="1"/>
    </row>
    <row r="27" spans="1:8" x14ac:dyDescent="0.3">
      <c r="A27" s="1"/>
      <c r="B27" s="6" t="s">
        <v>99</v>
      </c>
      <c r="C27" s="85" t="s">
        <v>41</v>
      </c>
      <c r="D27" s="86"/>
      <c r="E27" s="86"/>
      <c r="F27" s="87"/>
      <c r="G27" s="1"/>
    </row>
    <row r="28" spans="1:8" x14ac:dyDescent="0.3">
      <c r="A28" s="1"/>
      <c r="B28" s="6" t="s">
        <v>15</v>
      </c>
      <c r="C28" s="85" t="s">
        <v>42</v>
      </c>
      <c r="D28" s="86"/>
      <c r="E28" s="86"/>
      <c r="F28" s="87"/>
      <c r="G28" s="1"/>
      <c r="H28" s="2" t="s">
        <v>150</v>
      </c>
    </row>
    <row r="29" spans="1:8" x14ac:dyDescent="0.3">
      <c r="A29" s="1"/>
      <c r="B29" s="6" t="s">
        <v>33</v>
      </c>
      <c r="C29" s="85" t="s">
        <v>68</v>
      </c>
      <c r="D29" s="86"/>
      <c r="E29" s="86"/>
      <c r="F29" s="87"/>
      <c r="G29" s="1"/>
    </row>
    <row r="30" spans="1:8" x14ac:dyDescent="0.3">
      <c r="A30" s="1"/>
      <c r="B30" s="6" t="s">
        <v>34</v>
      </c>
      <c r="C30" s="85" t="s">
        <v>32</v>
      </c>
      <c r="D30" s="86"/>
      <c r="E30" s="86"/>
      <c r="F30" s="87"/>
      <c r="G30" s="1"/>
    </row>
    <row r="31" spans="1:8" x14ac:dyDescent="0.3">
      <c r="A31" s="1"/>
      <c r="B31" s="6" t="s">
        <v>100</v>
      </c>
      <c r="C31" s="88" t="s">
        <v>52</v>
      </c>
      <c r="D31" s="89"/>
      <c r="E31" s="89"/>
      <c r="F31" s="90"/>
      <c r="G31" s="1"/>
    </row>
    <row r="32" spans="1:8"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hidden="1" x14ac:dyDescent="0.3">
      <c r="A50" s="44"/>
      <c r="B50" s="44"/>
      <c r="C50" s="44"/>
      <c r="D50" s="44"/>
      <c r="E50" s="44"/>
      <c r="F50" s="44"/>
      <c r="G50" s="44"/>
    </row>
  </sheetData>
  <sheetProtection algorithmName="SHA-512" hashValue="0rP9hBHWF4aA6voXwCnCDgigLFchAz4ZltNT2mtTn0tmSZUEK+xarMmWErrPaKSHwvvOqZxHl44CvWZCNWtD9A==" saltValue="YjRMNPo5DCPvOL86RS1hF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58</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10" t="s">
        <v>165</v>
      </c>
      <c r="C8" s="111"/>
      <c r="D8" s="112"/>
      <c r="E8" s="1"/>
    </row>
    <row r="9" spans="1:5" ht="15" customHeight="1" x14ac:dyDescent="0.3">
      <c r="A9" s="1"/>
      <c r="B9" s="27" t="s">
        <v>28</v>
      </c>
      <c r="C9" s="67" t="s">
        <v>166</v>
      </c>
      <c r="D9" s="11"/>
      <c r="E9" s="1"/>
    </row>
    <row r="10" spans="1:5" ht="15" customHeight="1" x14ac:dyDescent="0.3">
      <c r="A10" s="1"/>
      <c r="B10" s="73" t="s">
        <v>235</v>
      </c>
      <c r="C10" s="74">
        <v>73415</v>
      </c>
      <c r="D10" s="14" t="s">
        <v>3</v>
      </c>
      <c r="E10" s="1"/>
    </row>
    <row r="11" spans="1:5" ht="15" customHeight="1" x14ac:dyDescent="0.3">
      <c r="A11" s="1"/>
      <c r="B11" s="73" t="s">
        <v>236</v>
      </c>
      <c r="C11" s="74">
        <v>20017497</v>
      </c>
      <c r="D11" s="14" t="s">
        <v>3</v>
      </c>
      <c r="E11" s="1"/>
    </row>
    <row r="12" spans="1:5" x14ac:dyDescent="0.3">
      <c r="A12" s="1"/>
      <c r="B12" s="73" t="s">
        <v>237</v>
      </c>
      <c r="C12" s="74">
        <v>437749</v>
      </c>
      <c r="D12" s="14" t="s">
        <v>3</v>
      </c>
      <c r="E12" s="1"/>
    </row>
    <row r="13" spans="1:5" x14ac:dyDescent="0.3">
      <c r="A13" s="1"/>
      <c r="B13" s="73" t="s">
        <v>238</v>
      </c>
      <c r="C13" s="74">
        <v>93744.939999999944</v>
      </c>
      <c r="D13" s="14" t="s">
        <v>3</v>
      </c>
      <c r="E13" s="1"/>
    </row>
    <row r="14" spans="1:5" x14ac:dyDescent="0.3">
      <c r="A14" s="1"/>
      <c r="B14" s="73" t="s">
        <v>239</v>
      </c>
      <c r="C14" s="74">
        <v>10785</v>
      </c>
      <c r="D14" s="14" t="s">
        <v>3</v>
      </c>
      <c r="E14" s="1"/>
    </row>
    <row r="15" spans="1:5" x14ac:dyDescent="0.3">
      <c r="A15" s="1"/>
      <c r="B15" s="73"/>
      <c r="C15" s="74"/>
      <c r="D15" s="14" t="s">
        <v>3</v>
      </c>
      <c r="E15" s="1"/>
    </row>
    <row r="16" spans="1:5" x14ac:dyDescent="0.3">
      <c r="A16" s="1"/>
      <c r="B16" s="73"/>
      <c r="C16" s="74"/>
      <c r="D16" s="14" t="s">
        <v>3</v>
      </c>
      <c r="E16" s="1"/>
    </row>
    <row r="17" spans="1:5" x14ac:dyDescent="0.3">
      <c r="A17" s="1"/>
      <c r="B17" s="73"/>
      <c r="C17" s="74"/>
      <c r="D17" s="14" t="s">
        <v>3</v>
      </c>
      <c r="E17" s="1"/>
    </row>
    <row r="18" spans="1:5" x14ac:dyDescent="0.3">
      <c r="A18" s="1"/>
      <c r="B18" s="73"/>
      <c r="C18" s="74"/>
      <c r="D18" s="14" t="s">
        <v>3</v>
      </c>
      <c r="E18" s="1"/>
    </row>
    <row r="19" spans="1:5" x14ac:dyDescent="0.3">
      <c r="A19" s="1"/>
      <c r="B19" s="73"/>
      <c r="C19" s="74"/>
      <c r="D19" s="14" t="s">
        <v>3</v>
      </c>
      <c r="E19" s="1"/>
    </row>
    <row r="20" spans="1:5" x14ac:dyDescent="0.3">
      <c r="A20" s="1"/>
      <c r="B20" s="33" t="s">
        <v>167</v>
      </c>
      <c r="C20" s="12">
        <f>SUM(C10:C19)</f>
        <v>20633190.940000001</v>
      </c>
      <c r="D20" s="13" t="s">
        <v>3</v>
      </c>
      <c r="E20" s="1"/>
    </row>
    <row r="21" spans="1:5" x14ac:dyDescent="0.3">
      <c r="A21" s="1"/>
      <c r="B21" s="33" t="s">
        <v>168</v>
      </c>
      <c r="C21" s="12">
        <f>C20*(1+'Fane 15. Nøgletal'!C10)^2</f>
        <v>23459849.16972705</v>
      </c>
      <c r="D21" s="13" t="s">
        <v>3</v>
      </c>
      <c r="E21" s="1"/>
    </row>
    <row r="22" spans="1:5" x14ac:dyDescent="0.3">
      <c r="A22" s="1"/>
      <c r="B22" s="16"/>
      <c r="C22" s="15"/>
      <c r="D22" s="15"/>
      <c r="E22" s="1"/>
    </row>
    <row r="23" spans="1:5" x14ac:dyDescent="0.3">
      <c r="A23" s="1"/>
      <c r="B23" s="16"/>
      <c r="C23" s="15"/>
      <c r="D23" s="15"/>
      <c r="E23" s="1"/>
    </row>
    <row r="24" spans="1:5" x14ac:dyDescent="0.3">
      <c r="A24" s="1"/>
      <c r="B24" s="110" t="s">
        <v>60</v>
      </c>
      <c r="C24" s="111"/>
      <c r="D24" s="112"/>
      <c r="E24" s="1"/>
    </row>
    <row r="25" spans="1:5" x14ac:dyDescent="0.3">
      <c r="A25" s="1"/>
      <c r="B25" s="37" t="s">
        <v>72</v>
      </c>
      <c r="C25" s="9">
        <v>0</v>
      </c>
      <c r="D25" s="14" t="s">
        <v>3</v>
      </c>
      <c r="E25" s="1"/>
    </row>
    <row r="26" spans="1:5" x14ac:dyDescent="0.3">
      <c r="A26" s="1"/>
      <c r="B26" s="37" t="s">
        <v>83</v>
      </c>
      <c r="C26" s="9">
        <v>0</v>
      </c>
      <c r="D26" s="14" t="s">
        <v>3</v>
      </c>
      <c r="E26" s="1"/>
    </row>
    <row r="27" spans="1:5" x14ac:dyDescent="0.3">
      <c r="A27" s="1"/>
      <c r="B27" s="37" t="s">
        <v>148</v>
      </c>
      <c r="C27" s="9">
        <v>0</v>
      </c>
      <c r="D27" s="14" t="s">
        <v>3</v>
      </c>
      <c r="E27" s="1"/>
    </row>
    <row r="28" spans="1:5" x14ac:dyDescent="0.3">
      <c r="A28" s="1"/>
      <c r="B28" s="34" t="s">
        <v>169</v>
      </c>
      <c r="C28" s="9">
        <v>0</v>
      </c>
      <c r="D28" s="36" t="s">
        <v>3</v>
      </c>
      <c r="E28" s="1"/>
    </row>
    <row r="29" spans="1:5" x14ac:dyDescent="0.3">
      <c r="A29" s="1"/>
      <c r="B29" s="110"/>
      <c r="C29" s="111"/>
      <c r="D29" s="112"/>
      <c r="E29" s="1"/>
    </row>
    <row r="30" spans="1:5" x14ac:dyDescent="0.3">
      <c r="A30" s="1"/>
      <c r="B30" s="1"/>
      <c r="C30" s="1"/>
      <c r="D30" s="1"/>
      <c r="E30" s="1"/>
    </row>
    <row r="31" spans="1:5" x14ac:dyDescent="0.3">
      <c r="A31" s="1"/>
      <c r="B31" s="1"/>
      <c r="C31" s="1"/>
      <c r="D31" s="1"/>
      <c r="E31" s="1"/>
    </row>
    <row r="32" spans="1:5" x14ac:dyDescent="0.3">
      <c r="A32" s="1"/>
      <c r="B32" s="110" t="s">
        <v>47</v>
      </c>
      <c r="C32" s="111"/>
      <c r="D32" s="112"/>
      <c r="E32" s="1"/>
    </row>
    <row r="33" spans="1:5" x14ac:dyDescent="0.3">
      <c r="A33" s="1"/>
      <c r="B33" s="37" t="s">
        <v>72</v>
      </c>
      <c r="C33" s="9">
        <v>467976</v>
      </c>
      <c r="D33" s="14" t="s">
        <v>3</v>
      </c>
      <c r="E33" s="1"/>
    </row>
    <row r="34" spans="1:5" x14ac:dyDescent="0.3">
      <c r="A34" s="1"/>
      <c r="B34" s="37" t="s">
        <v>83</v>
      </c>
      <c r="C34" s="9">
        <v>467976</v>
      </c>
      <c r="D34" s="14" t="s">
        <v>3</v>
      </c>
      <c r="E34" s="1"/>
    </row>
    <row r="35" spans="1:5" x14ac:dyDescent="0.3">
      <c r="A35" s="1"/>
      <c r="B35" s="37" t="s">
        <v>148</v>
      </c>
      <c r="C35" s="9">
        <v>467976</v>
      </c>
      <c r="D35" s="14" t="s">
        <v>3</v>
      </c>
      <c r="E35" s="1"/>
    </row>
    <row r="36" spans="1:5" x14ac:dyDescent="0.3">
      <c r="A36" s="1"/>
      <c r="B36" s="34" t="s">
        <v>169</v>
      </c>
      <c r="C36" s="9">
        <v>467976</v>
      </c>
      <c r="D36" s="36" t="s">
        <v>3</v>
      </c>
      <c r="E36" s="1"/>
    </row>
    <row r="37" spans="1:5" x14ac:dyDescent="0.3">
      <c r="A37" s="1"/>
      <c r="B37" s="110"/>
      <c r="C37" s="111"/>
      <c r="D37" s="112"/>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row r="56" spans="1:5" hidden="1" x14ac:dyDescent="0.3">
      <c r="A56" s="44"/>
      <c r="B56" s="44"/>
      <c r="C56" s="44"/>
      <c r="D56" s="44"/>
      <c r="E56" s="44"/>
    </row>
  </sheetData>
  <sheetProtection algorithmName="SHA-512" hashValue="ueb0jxek19XDQCknOt2T1UK0jG2bYPEPNYqj8Ahge3F5Vmkn852F2ZaiWT6FxJdTsJAclFajKPQvb3pL9IYq7A==" saltValue="fVYX0524GMYSVxCg62VAN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201</v>
      </c>
      <c r="C3" s="108"/>
      <c r="D3" s="108"/>
      <c r="E3" s="1"/>
    </row>
    <row r="4" spans="1:5" ht="15" customHeight="1" x14ac:dyDescent="0.3">
      <c r="A4" s="1"/>
      <c r="B4" s="108"/>
      <c r="C4" s="108"/>
      <c r="D4" s="108"/>
      <c r="E4" s="1"/>
    </row>
    <row r="5" spans="1:5" ht="15" customHeight="1" x14ac:dyDescent="0.3">
      <c r="A5" s="1"/>
      <c r="B5" s="108"/>
      <c r="C5" s="108"/>
      <c r="D5" s="108"/>
      <c r="E5" s="1"/>
    </row>
    <row r="6" spans="1:5" ht="15" customHeight="1" x14ac:dyDescent="0.3">
      <c r="A6" s="1"/>
      <c r="B6" s="76"/>
      <c r="C6" s="76"/>
      <c r="D6" s="76"/>
      <c r="E6" s="1"/>
    </row>
    <row r="7" spans="1:5" x14ac:dyDescent="0.3">
      <c r="A7" s="1"/>
      <c r="B7" s="1"/>
      <c r="C7" s="1"/>
      <c r="D7" s="1"/>
      <c r="E7" s="1"/>
    </row>
    <row r="8" spans="1:5" x14ac:dyDescent="0.3">
      <c r="A8" s="1"/>
      <c r="B8" s="110" t="s">
        <v>77</v>
      </c>
      <c r="C8" s="111"/>
      <c r="D8" s="112"/>
      <c r="E8" s="1"/>
    </row>
    <row r="9" spans="1:5" x14ac:dyDescent="0.3">
      <c r="A9" s="1"/>
      <c r="B9" s="65" t="s">
        <v>204</v>
      </c>
      <c r="C9" s="9">
        <v>11873818.724264696</v>
      </c>
      <c r="D9" s="14" t="s">
        <v>3</v>
      </c>
      <c r="E9" s="1"/>
    </row>
    <row r="10" spans="1:5" x14ac:dyDescent="0.3">
      <c r="A10" s="1"/>
      <c r="B10" s="33"/>
      <c r="C10" s="28"/>
      <c r="D10" s="19"/>
      <c r="E10" s="1"/>
    </row>
    <row r="11" spans="1:5" ht="53.25" customHeight="1" x14ac:dyDescent="0.3">
      <c r="A11" s="1"/>
      <c r="B11" s="121" t="s">
        <v>212</v>
      </c>
      <c r="C11" s="122"/>
      <c r="D11" s="123"/>
      <c r="E11" s="1"/>
    </row>
    <row r="12" spans="1:5" x14ac:dyDescent="0.3">
      <c r="A12" s="1"/>
      <c r="B12" s="1"/>
      <c r="C12" s="1"/>
      <c r="D12" s="1"/>
      <c r="E12" s="1"/>
    </row>
    <row r="13" spans="1:5" x14ac:dyDescent="0.3">
      <c r="A13" s="1"/>
      <c r="B13" s="110" t="s">
        <v>78</v>
      </c>
      <c r="C13" s="111"/>
      <c r="D13" s="112"/>
      <c r="E13" s="1"/>
    </row>
    <row r="14" spans="1:5" x14ac:dyDescent="0.3">
      <c r="A14" s="1"/>
      <c r="B14" s="65" t="s">
        <v>202</v>
      </c>
      <c r="C14" s="9">
        <v>0</v>
      </c>
      <c r="D14" s="14" t="s">
        <v>3</v>
      </c>
      <c r="E14" s="1"/>
    </row>
    <row r="15" spans="1:5" x14ac:dyDescent="0.3">
      <c r="A15" s="1"/>
      <c r="B15" s="65" t="s">
        <v>203</v>
      </c>
      <c r="C15" s="9">
        <v>0</v>
      </c>
      <c r="D15" s="14" t="s">
        <v>3</v>
      </c>
      <c r="E15" s="1"/>
    </row>
    <row r="16" spans="1:5" x14ac:dyDescent="0.3">
      <c r="A16" s="1"/>
      <c r="B16" s="33"/>
      <c r="C16" s="28"/>
      <c r="D16" s="19"/>
      <c r="E16" s="1"/>
    </row>
    <row r="17" spans="1:5" ht="29.25" customHeight="1" x14ac:dyDescent="0.3">
      <c r="A17" s="1"/>
      <c r="B17" s="121" t="s">
        <v>121</v>
      </c>
      <c r="C17" s="122"/>
      <c r="D17" s="123"/>
      <c r="E17" s="1"/>
    </row>
    <row r="18" spans="1:5" x14ac:dyDescent="0.3">
      <c r="A18" s="1"/>
      <c r="B18" s="1"/>
      <c r="C18" s="1"/>
      <c r="D18" s="1"/>
      <c r="E18" s="1"/>
    </row>
    <row r="19" spans="1:5" x14ac:dyDescent="0.3">
      <c r="A19" s="1"/>
      <c r="B19" s="77" t="s">
        <v>205</v>
      </c>
      <c r="C19" s="78"/>
      <c r="D19" s="79"/>
      <c r="E19" s="1"/>
    </row>
    <row r="20" spans="1:5" x14ac:dyDescent="0.3">
      <c r="A20" s="1"/>
      <c r="B20" s="65" t="s">
        <v>206</v>
      </c>
      <c r="C20" s="9">
        <v>102548158.8127428</v>
      </c>
      <c r="D20" s="14" t="s">
        <v>3</v>
      </c>
      <c r="E20" s="1"/>
    </row>
    <row r="21" spans="1:5" x14ac:dyDescent="0.3">
      <c r="A21" s="1"/>
      <c r="B21" s="65" t="s">
        <v>207</v>
      </c>
      <c r="C21" s="9">
        <v>92703997</v>
      </c>
      <c r="D21" s="14" t="s">
        <v>3</v>
      </c>
      <c r="E21" s="1"/>
    </row>
    <row r="22" spans="1:5" x14ac:dyDescent="0.3">
      <c r="A22" s="1"/>
      <c r="B22" s="65" t="s">
        <v>29</v>
      </c>
      <c r="C22" s="9">
        <v>0</v>
      </c>
      <c r="D22" s="14" t="s">
        <v>3</v>
      </c>
      <c r="E22" s="1"/>
    </row>
    <row r="23" spans="1:5" x14ac:dyDescent="0.3">
      <c r="A23" s="1"/>
      <c r="B23" s="83" t="s">
        <v>208</v>
      </c>
      <c r="C23" s="57">
        <f>C20-C21-C22</f>
        <v>9844161.8127427995</v>
      </c>
      <c r="D23" s="17" t="s">
        <v>3</v>
      </c>
      <c r="E23" s="1"/>
    </row>
    <row r="24" spans="1:5" x14ac:dyDescent="0.3">
      <c r="A24" s="1"/>
      <c r="B24" s="33"/>
      <c r="C24" s="28"/>
      <c r="D24" s="19"/>
      <c r="E24" s="1"/>
    </row>
    <row r="25" spans="1:5" x14ac:dyDescent="0.3">
      <c r="A25" s="1"/>
      <c r="B25" s="1"/>
      <c r="C25" s="1"/>
      <c r="D25" s="1"/>
      <c r="E25" s="1"/>
    </row>
    <row r="26" spans="1:5" x14ac:dyDescent="0.3">
      <c r="A26" s="1"/>
      <c r="B26" s="110" t="s">
        <v>209</v>
      </c>
      <c r="C26" s="111"/>
      <c r="D26" s="112"/>
      <c r="E26" s="1"/>
    </row>
    <row r="27" spans="1:5" x14ac:dyDescent="0.3">
      <c r="A27" s="1"/>
      <c r="B27" s="83" t="s">
        <v>210</v>
      </c>
      <c r="C27" s="57">
        <f>IF(AND(C15&lt;0,C23&gt;0,ABS(SUM(C14:C15))&lt;C23),ABS(C14),IF(AND(C15&lt;0,C23&gt;0,ABS(SUM(C14:C15))&gt;C23),SUM(C14,C23),C15))</f>
        <v>0</v>
      </c>
      <c r="D27" s="17" t="s">
        <v>3</v>
      </c>
      <c r="E27" s="1"/>
    </row>
    <row r="28" spans="1:5" x14ac:dyDescent="0.3">
      <c r="A28" s="1"/>
      <c r="B28" s="110"/>
      <c r="C28" s="111"/>
      <c r="D28" s="112"/>
      <c r="E28" s="1"/>
    </row>
    <row r="29" spans="1:5" x14ac:dyDescent="0.3">
      <c r="A29" s="1"/>
      <c r="B29" s="1"/>
      <c r="C29" s="1"/>
      <c r="D29" s="1"/>
      <c r="E29" s="1"/>
    </row>
    <row r="30" spans="1:5" x14ac:dyDescent="0.3">
      <c r="A30" s="1"/>
      <c r="B30" s="110" t="s">
        <v>211</v>
      </c>
      <c r="C30" s="111"/>
      <c r="D30" s="112"/>
      <c r="E30" s="1"/>
    </row>
    <row r="31" spans="1:5" x14ac:dyDescent="0.3">
      <c r="A31" s="1"/>
      <c r="B31" s="66" t="s">
        <v>69</v>
      </c>
      <c r="C31" s="58">
        <f>IF(AND(C9&gt;0,(C9+C23)&gt;0),0,IF(AND(C9&gt;0,(C9+C23)&lt;0),(C9+C23),IF(AND(C9&lt;0,C23&lt;0),C23,0)))</f>
        <v>0</v>
      </c>
      <c r="D31" s="14" t="s">
        <v>3</v>
      </c>
      <c r="E31" s="1"/>
    </row>
    <row r="32" spans="1:5" x14ac:dyDescent="0.3">
      <c r="A32" s="1"/>
      <c r="B32" s="66" t="s">
        <v>49</v>
      </c>
      <c r="C32" s="9">
        <v>2</v>
      </c>
      <c r="D32" s="14" t="s">
        <v>20</v>
      </c>
      <c r="E32" s="1"/>
    </row>
    <row r="33" spans="1:5" x14ac:dyDescent="0.3">
      <c r="A33" s="1"/>
      <c r="B33" s="67" t="s">
        <v>70</v>
      </c>
      <c r="C33" s="57">
        <f>C31/C32</f>
        <v>0</v>
      </c>
      <c r="D33" s="17" t="s">
        <v>3</v>
      </c>
      <c r="E33" s="1"/>
    </row>
    <row r="34" spans="1:5" x14ac:dyDescent="0.3">
      <c r="A34" s="1"/>
      <c r="B34" s="118"/>
      <c r="C34" s="119"/>
      <c r="D34" s="120"/>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hidden="1" x14ac:dyDescent="0.3">
      <c r="A46" s="44"/>
      <c r="B46" s="44"/>
      <c r="C46" s="44"/>
      <c r="D46" s="44"/>
      <c r="E46" s="44"/>
    </row>
    <row r="47" spans="1:5" hidden="1" x14ac:dyDescent="0.3">
      <c r="A47" s="44"/>
      <c r="B47" s="44"/>
      <c r="C47" s="44"/>
      <c r="D47" s="44"/>
      <c r="E47" s="44"/>
    </row>
    <row r="48" spans="1:5" hidden="1" x14ac:dyDescent="0.3">
      <c r="A48" s="44"/>
      <c r="B48" s="44"/>
      <c r="C48" s="44"/>
      <c r="D48" s="44"/>
      <c r="E48" s="44"/>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E53" s="44"/>
    </row>
  </sheetData>
  <sheetProtection algorithmName="SHA-512" hashValue="uWn7hyTFKwM6G+ZFlQ4jOub2e60R8FX3nhOmxK4/PKO3ilPgP4zlkh9fG6hjjAW4t9GlTFmq+24HJDD1IK2DTg==" saltValue="1fsFYUjGvKj+2olKYE52D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4" zeroHeight="1" x14ac:dyDescent="0.3"/>
  <cols>
    <col min="1" max="1" width="5.33203125" style="56" customWidth="1"/>
    <col min="2" max="2" width="57.109375" style="56" customWidth="1"/>
    <col min="3" max="3" width="12.5546875" style="56" customWidth="1"/>
    <col min="4" max="4" width="3.109375" style="56" customWidth="1"/>
    <col min="5" max="5" width="5.33203125" style="56" customWidth="1"/>
    <col min="6" max="16384" width="9.109375" style="56" hidden="1"/>
  </cols>
  <sheetData>
    <row r="1" spans="1:5" x14ac:dyDescent="0.3">
      <c r="A1" s="1"/>
      <c r="B1" s="1"/>
      <c r="C1" s="1"/>
      <c r="D1" s="1"/>
      <c r="E1" s="1"/>
    </row>
    <row r="2" spans="1:5" x14ac:dyDescent="0.3">
      <c r="A2" s="1"/>
      <c r="B2" s="1"/>
      <c r="C2" s="1"/>
      <c r="D2" s="1"/>
      <c r="E2" s="1"/>
    </row>
    <row r="3" spans="1:5" ht="15" customHeight="1" x14ac:dyDescent="0.3">
      <c r="A3" s="1"/>
      <c r="B3" s="108" t="s">
        <v>101</v>
      </c>
      <c r="C3" s="108"/>
      <c r="D3" s="108"/>
      <c r="E3" s="1"/>
    </row>
    <row r="4" spans="1:5" ht="15" customHeight="1" x14ac:dyDescent="0.3">
      <c r="A4" s="1"/>
      <c r="B4" s="108"/>
      <c r="C4" s="108"/>
      <c r="D4" s="108"/>
      <c r="E4" s="1"/>
    </row>
    <row r="5" spans="1:5" x14ac:dyDescent="0.3">
      <c r="A5" s="1"/>
      <c r="B5" s="108"/>
      <c r="C5" s="108"/>
      <c r="D5" s="108"/>
      <c r="E5" s="1"/>
    </row>
    <row r="6" spans="1:5" x14ac:dyDescent="0.3">
      <c r="A6" s="1"/>
      <c r="B6" s="1"/>
      <c r="C6" s="1"/>
      <c r="D6" s="1"/>
      <c r="E6" s="1"/>
    </row>
    <row r="7" spans="1:5" x14ac:dyDescent="0.3">
      <c r="A7" s="1"/>
      <c r="B7" s="1"/>
      <c r="C7" s="1"/>
      <c r="D7" s="1"/>
      <c r="E7" s="1"/>
    </row>
    <row r="8" spans="1:5" x14ac:dyDescent="0.3">
      <c r="A8" s="1"/>
      <c r="B8" s="110" t="s">
        <v>120</v>
      </c>
      <c r="C8" s="111"/>
      <c r="D8" s="112"/>
      <c r="E8" s="1"/>
    </row>
    <row r="9" spans="1:5" ht="15" customHeight="1" x14ac:dyDescent="0.3">
      <c r="A9" s="1"/>
      <c r="B9" s="124" t="s">
        <v>102</v>
      </c>
      <c r="C9" s="125"/>
      <c r="D9" s="126"/>
      <c r="E9" s="1"/>
    </row>
    <row r="10" spans="1:5" x14ac:dyDescent="0.3">
      <c r="A10" s="1"/>
      <c r="B10" s="68" t="s">
        <v>103</v>
      </c>
      <c r="C10" s="9"/>
      <c r="D10" s="9" t="s">
        <v>3</v>
      </c>
      <c r="E10" s="1"/>
    </row>
    <row r="11" spans="1:5" x14ac:dyDescent="0.3">
      <c r="A11" s="1"/>
      <c r="B11" s="68" t="s">
        <v>104</v>
      </c>
      <c r="C11" s="9"/>
      <c r="D11" s="9" t="s">
        <v>3</v>
      </c>
      <c r="E11" s="1"/>
    </row>
    <row r="12" spans="1:5" x14ac:dyDescent="0.3">
      <c r="A12" s="1"/>
      <c r="B12" s="68" t="s">
        <v>105</v>
      </c>
      <c r="C12" s="9"/>
      <c r="D12" s="9" t="s">
        <v>3</v>
      </c>
      <c r="E12" s="1"/>
    </row>
    <row r="13" spans="1:5" x14ac:dyDescent="0.3">
      <c r="A13" s="1"/>
      <c r="B13" s="68" t="s">
        <v>106</v>
      </c>
      <c r="C13" s="9"/>
      <c r="D13" s="9" t="s">
        <v>3</v>
      </c>
      <c r="E13" s="1"/>
    </row>
    <row r="14" spans="1:5" x14ac:dyDescent="0.3">
      <c r="A14" s="1"/>
      <c r="B14" s="68" t="s">
        <v>107</v>
      </c>
      <c r="C14" s="9"/>
      <c r="D14" s="9" t="s">
        <v>3</v>
      </c>
      <c r="E14" s="1"/>
    </row>
    <row r="15" spans="1:5" x14ac:dyDescent="0.3">
      <c r="A15" s="1"/>
      <c r="B15" s="68" t="s">
        <v>108</v>
      </c>
      <c r="C15" s="9"/>
      <c r="D15" s="9" t="s">
        <v>3</v>
      </c>
      <c r="E15" s="1"/>
    </row>
    <row r="16" spans="1:5" x14ac:dyDescent="0.3">
      <c r="A16" s="1"/>
      <c r="B16" s="68" t="s">
        <v>109</v>
      </c>
      <c r="C16" s="9"/>
      <c r="D16" s="9" t="s">
        <v>3</v>
      </c>
      <c r="E16" s="1"/>
    </row>
    <row r="17" spans="1:5" x14ac:dyDescent="0.3">
      <c r="A17" s="1"/>
      <c r="B17" s="68" t="s">
        <v>110</v>
      </c>
      <c r="C17" s="9"/>
      <c r="D17" s="9" t="s">
        <v>3</v>
      </c>
      <c r="E17" s="1"/>
    </row>
    <row r="18" spans="1:5" x14ac:dyDescent="0.3">
      <c r="A18" s="1"/>
      <c r="B18" s="77" t="s">
        <v>111</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U5NAjWYHPI6cYRbz+PdaVMgBFDY/GlzKp5u1Eutgwm5PgFso9xjItzKFHifd4vbQaixtSuc/GQtOIPXhWRD4hw==" saltValue="D6d1XpbhV2zlmyEtzOyLH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4" zeroHeight="1" x14ac:dyDescent="0.3"/>
  <cols>
    <col min="1" max="1" width="5.33203125" style="2" customWidth="1"/>
    <col min="2" max="2" width="55.664062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170</v>
      </c>
      <c r="C3" s="108"/>
      <c r="D3" s="108"/>
      <c r="E3" s="1"/>
    </row>
    <row r="4" spans="1:5" ht="15" customHeight="1" x14ac:dyDescent="0.3">
      <c r="A4" s="1"/>
      <c r="B4" s="108"/>
      <c r="C4" s="108"/>
      <c r="D4" s="108"/>
      <c r="E4" s="1"/>
    </row>
    <row r="5" spans="1:5" x14ac:dyDescent="0.3">
      <c r="A5" s="1"/>
      <c r="B5" s="1"/>
      <c r="C5" s="1"/>
      <c r="D5" s="1"/>
      <c r="E5" s="1"/>
    </row>
    <row r="6" spans="1:5" x14ac:dyDescent="0.3">
      <c r="A6" s="1"/>
      <c r="B6" s="1"/>
      <c r="C6" s="1"/>
      <c r="D6" s="1"/>
      <c r="E6" s="1"/>
    </row>
    <row r="7" spans="1:5" x14ac:dyDescent="0.3">
      <c r="A7" s="1"/>
      <c r="B7" s="1"/>
      <c r="C7" s="1"/>
      <c r="D7" s="1"/>
      <c r="E7" s="1"/>
    </row>
    <row r="8" spans="1:5" ht="15" customHeight="1" x14ac:dyDescent="0.3">
      <c r="A8" s="1"/>
      <c r="B8" s="110" t="s">
        <v>171</v>
      </c>
      <c r="C8" s="111"/>
      <c r="D8" s="112"/>
      <c r="E8" s="1"/>
    </row>
    <row r="9" spans="1:5" ht="27" x14ac:dyDescent="0.3">
      <c r="A9" s="1"/>
      <c r="B9" s="80" t="s">
        <v>215</v>
      </c>
      <c r="C9" s="7">
        <v>2885296.3769838931</v>
      </c>
      <c r="D9" s="8" t="s">
        <v>3</v>
      </c>
      <c r="E9" s="1"/>
    </row>
    <row r="10" spans="1:5" ht="14.25" customHeight="1" x14ac:dyDescent="0.3">
      <c r="A10" s="1"/>
      <c r="B10" s="65" t="s">
        <v>172</v>
      </c>
      <c r="C10" s="7">
        <v>486656.99</v>
      </c>
      <c r="D10" s="8" t="s">
        <v>3</v>
      </c>
      <c r="E10" s="1"/>
    </row>
    <row r="11" spans="1:5" ht="14.25" customHeight="1" x14ac:dyDescent="0.3">
      <c r="A11" s="1"/>
      <c r="B11" s="83" t="s">
        <v>48</v>
      </c>
      <c r="C11" s="10">
        <f>C10-C9</f>
        <v>-2398639.3869838929</v>
      </c>
      <c r="D11" s="11" t="s">
        <v>3</v>
      </c>
      <c r="E11" s="1"/>
    </row>
    <row r="12" spans="1:5" ht="14.25" customHeight="1" x14ac:dyDescent="0.3">
      <c r="A12" s="1"/>
      <c r="B12" s="110" t="s">
        <v>217</v>
      </c>
      <c r="C12" s="111"/>
      <c r="D12" s="112"/>
      <c r="E12" s="1"/>
    </row>
    <row r="13" spans="1:5" ht="27" x14ac:dyDescent="0.3">
      <c r="A13" s="1"/>
      <c r="B13" s="80" t="s">
        <v>216</v>
      </c>
      <c r="C13" s="7">
        <v>0</v>
      </c>
      <c r="D13" s="8" t="s">
        <v>3</v>
      </c>
      <c r="E13" s="1"/>
    </row>
    <row r="14" spans="1:5" ht="14.25" customHeight="1" x14ac:dyDescent="0.3">
      <c r="A14" s="1"/>
      <c r="B14" s="65" t="s">
        <v>173</v>
      </c>
      <c r="C14" s="7">
        <v>0</v>
      </c>
      <c r="D14" s="8" t="s">
        <v>3</v>
      </c>
      <c r="E14" s="1"/>
    </row>
    <row r="15" spans="1:5" ht="14.25" customHeight="1" x14ac:dyDescent="0.3">
      <c r="A15" s="1"/>
      <c r="B15" s="83" t="s">
        <v>48</v>
      </c>
      <c r="C15" s="10">
        <f>C14-C13</f>
        <v>0</v>
      </c>
      <c r="D15" s="11" t="s">
        <v>3</v>
      </c>
      <c r="E15" s="1"/>
    </row>
    <row r="16" spans="1:5" ht="14.25" customHeight="1" x14ac:dyDescent="0.3">
      <c r="A16" s="1"/>
      <c r="B16" s="33" t="s">
        <v>174</v>
      </c>
      <c r="C16" s="12">
        <f>C11+C15</f>
        <v>-2398639.3869838929</v>
      </c>
      <c r="D16" s="13" t="s">
        <v>3</v>
      </c>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sheetData>
  <sheetProtection algorithmName="SHA-512" hashValue="VZQY8ml4+2HM3M/glmsmxWlDleiehncmuDvTET0cGJ9Wvmh3qybTeDOGPk5UIz528GycBsGej/yP5GDje1dSGQ==" saltValue="g2WAauxY4YegXgelajVLh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64"/>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106" t="s">
        <v>113</v>
      </c>
      <c r="C3" s="106"/>
      <c r="D3" s="106"/>
      <c r="E3" s="106"/>
      <c r="F3" s="106"/>
      <c r="G3" s="106"/>
      <c r="H3" s="106"/>
      <c r="I3" s="106"/>
      <c r="J3" s="106"/>
      <c r="K3" s="106"/>
      <c r="L3" s="1"/>
    </row>
    <row r="4" spans="1:12" ht="15" customHeight="1" x14ac:dyDescent="0.3">
      <c r="A4" s="1"/>
      <c r="B4" s="106"/>
      <c r="C4" s="106"/>
      <c r="D4" s="106"/>
      <c r="E4" s="106"/>
      <c r="F4" s="106"/>
      <c r="G4" s="106"/>
      <c r="H4" s="106"/>
      <c r="I4" s="106"/>
      <c r="J4" s="106"/>
      <c r="K4" s="106"/>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110" t="s">
        <v>86</v>
      </c>
      <c r="C8" s="111"/>
      <c r="D8" s="111"/>
      <c r="E8" s="111"/>
      <c r="F8" s="111"/>
      <c r="G8" s="111"/>
      <c r="H8" s="111"/>
      <c r="I8" s="111"/>
      <c r="J8" s="111"/>
      <c r="K8" s="112"/>
      <c r="L8" s="1"/>
    </row>
    <row r="9" spans="1:12" ht="39.75" customHeight="1" x14ac:dyDescent="0.3">
      <c r="A9" s="1"/>
      <c r="B9" s="18" t="s">
        <v>0</v>
      </c>
      <c r="C9" s="18" t="s">
        <v>1</v>
      </c>
      <c r="D9" s="127" t="s">
        <v>96</v>
      </c>
      <c r="E9" s="128"/>
      <c r="F9" s="127" t="s">
        <v>2</v>
      </c>
      <c r="G9" s="128"/>
      <c r="H9" s="127" t="s">
        <v>95</v>
      </c>
      <c r="I9" s="128"/>
      <c r="J9" s="127" t="s">
        <v>26</v>
      </c>
      <c r="K9" s="128"/>
      <c r="L9" s="1"/>
    </row>
    <row r="10" spans="1:12" x14ac:dyDescent="0.3">
      <c r="A10" s="1"/>
      <c r="B10" s="68" t="s">
        <v>222</v>
      </c>
      <c r="C10" s="42">
        <v>75</v>
      </c>
      <c r="D10" s="71">
        <v>246814</v>
      </c>
      <c r="E10" s="14" t="s">
        <v>3</v>
      </c>
      <c r="F10" s="9">
        <f>IFERROR(D10/C10,0)</f>
        <v>3290.8533333333335</v>
      </c>
      <c r="G10" s="14" t="s">
        <v>3</v>
      </c>
      <c r="H10" s="38">
        <v>0</v>
      </c>
      <c r="I10" s="14" t="s">
        <v>3</v>
      </c>
      <c r="J10" s="38">
        <v>0</v>
      </c>
      <c r="K10" s="14" t="s">
        <v>3</v>
      </c>
      <c r="L10" s="1"/>
    </row>
    <row r="11" spans="1:12" ht="40.200000000000003" x14ac:dyDescent="0.3">
      <c r="A11" s="1"/>
      <c r="B11" s="68" t="s">
        <v>223</v>
      </c>
      <c r="C11" s="42">
        <v>75</v>
      </c>
      <c r="D11" s="71">
        <v>23625</v>
      </c>
      <c r="E11" s="14" t="s">
        <v>3</v>
      </c>
      <c r="F11" s="9">
        <f t="shared" ref="F11:F16" si="0">IFERROR(D11/C11,0)</f>
        <v>315</v>
      </c>
      <c r="G11" s="14" t="s">
        <v>3</v>
      </c>
      <c r="H11" s="38">
        <v>0</v>
      </c>
      <c r="I11" s="14" t="s">
        <v>3</v>
      </c>
      <c r="J11" s="38">
        <v>0</v>
      </c>
      <c r="K11" s="14" t="s">
        <v>3</v>
      </c>
      <c r="L11" s="1"/>
    </row>
    <row r="12" spans="1:12" x14ac:dyDescent="0.3">
      <c r="A12" s="1"/>
      <c r="B12" s="68" t="s">
        <v>224</v>
      </c>
      <c r="C12" s="42">
        <v>75</v>
      </c>
      <c r="D12" s="71">
        <v>769621</v>
      </c>
      <c r="E12" s="14" t="s">
        <v>3</v>
      </c>
      <c r="F12" s="9">
        <f t="shared" si="0"/>
        <v>10261.613333333333</v>
      </c>
      <c r="G12" s="14" t="s">
        <v>3</v>
      </c>
      <c r="H12" s="38">
        <v>0</v>
      </c>
      <c r="I12" s="14" t="s">
        <v>3</v>
      </c>
      <c r="J12" s="38">
        <v>0</v>
      </c>
      <c r="K12" s="14" t="s">
        <v>3</v>
      </c>
      <c r="L12" s="1"/>
    </row>
    <row r="13" spans="1:12" x14ac:dyDescent="0.3">
      <c r="A13" s="1"/>
      <c r="B13" s="68" t="s">
        <v>225</v>
      </c>
      <c r="C13" s="42">
        <v>75</v>
      </c>
      <c r="D13" s="71">
        <v>4965</v>
      </c>
      <c r="E13" s="14" t="s">
        <v>3</v>
      </c>
      <c r="F13" s="9">
        <f t="shared" si="0"/>
        <v>66.2</v>
      </c>
      <c r="G13" s="14" t="s">
        <v>3</v>
      </c>
      <c r="H13" s="38">
        <v>0</v>
      </c>
      <c r="I13" s="14" t="s">
        <v>3</v>
      </c>
      <c r="J13" s="38">
        <v>0</v>
      </c>
      <c r="K13" s="14" t="s">
        <v>3</v>
      </c>
      <c r="L13" s="1"/>
    </row>
    <row r="14" spans="1:12" ht="27" x14ac:dyDescent="0.3">
      <c r="A14" s="1"/>
      <c r="B14" s="68" t="s">
        <v>226</v>
      </c>
      <c r="C14" s="42">
        <v>75</v>
      </c>
      <c r="D14" s="71">
        <v>134649</v>
      </c>
      <c r="E14" s="14" t="s">
        <v>3</v>
      </c>
      <c r="F14" s="9">
        <f t="shared" si="0"/>
        <v>1795.32</v>
      </c>
      <c r="G14" s="14" t="s">
        <v>3</v>
      </c>
      <c r="H14" s="38">
        <v>0</v>
      </c>
      <c r="I14" s="14" t="s">
        <v>3</v>
      </c>
      <c r="J14" s="38">
        <v>0</v>
      </c>
      <c r="K14" s="14" t="s">
        <v>3</v>
      </c>
      <c r="L14" s="1"/>
    </row>
    <row r="15" spans="1:12" ht="27" x14ac:dyDescent="0.3">
      <c r="A15" s="1"/>
      <c r="B15" s="68" t="s">
        <v>227</v>
      </c>
      <c r="C15" s="42">
        <v>75</v>
      </c>
      <c r="D15" s="71">
        <v>2847013</v>
      </c>
      <c r="E15" s="14" t="s">
        <v>3</v>
      </c>
      <c r="F15" s="9">
        <f t="shared" si="0"/>
        <v>37960.173333333332</v>
      </c>
      <c r="G15" s="14" t="s">
        <v>3</v>
      </c>
      <c r="H15" s="38">
        <v>0</v>
      </c>
      <c r="I15" s="14" t="s">
        <v>3</v>
      </c>
      <c r="J15" s="38">
        <v>0</v>
      </c>
      <c r="K15" s="14" t="s">
        <v>3</v>
      </c>
      <c r="L15" s="1"/>
    </row>
    <row r="16" spans="1:12" ht="27" x14ac:dyDescent="0.3">
      <c r="A16" s="1"/>
      <c r="B16" s="68" t="s">
        <v>228</v>
      </c>
      <c r="C16" s="42">
        <v>75</v>
      </c>
      <c r="D16" s="71">
        <v>2751763</v>
      </c>
      <c r="E16" s="14" t="s">
        <v>3</v>
      </c>
      <c r="F16" s="9">
        <f t="shared" si="0"/>
        <v>36690.173333333332</v>
      </c>
      <c r="G16" s="14" t="s">
        <v>3</v>
      </c>
      <c r="H16" s="38">
        <v>0</v>
      </c>
      <c r="I16" s="14" t="s">
        <v>3</v>
      </c>
      <c r="J16" s="38">
        <v>0</v>
      </c>
      <c r="K16" s="14" t="s">
        <v>3</v>
      </c>
      <c r="L16" s="1"/>
    </row>
    <row r="17" spans="1:12" x14ac:dyDescent="0.3">
      <c r="A17" s="1"/>
      <c r="B17" s="77" t="s">
        <v>219</v>
      </c>
      <c r="C17" s="78"/>
      <c r="D17" s="79"/>
      <c r="E17" s="79"/>
      <c r="F17" s="12">
        <f>SUM(F10:F16)</f>
        <v>90379.333333333343</v>
      </c>
      <c r="G17" s="12" t="s">
        <v>94</v>
      </c>
      <c r="H17" s="12">
        <f>SUM(H10:H16)</f>
        <v>0</v>
      </c>
      <c r="I17" s="12" t="s">
        <v>94</v>
      </c>
      <c r="J17" s="12">
        <f>SUM(J10:J16)</f>
        <v>0</v>
      </c>
      <c r="K17" s="13" t="s">
        <v>3</v>
      </c>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hidden="1" x14ac:dyDescent="0.3">
      <c r="A47" s="44"/>
      <c r="B47" s="44"/>
      <c r="C47" s="44"/>
      <c r="D47" s="44"/>
      <c r="E47" s="44"/>
      <c r="F47" s="44"/>
      <c r="G47" s="44"/>
      <c r="H47" s="44"/>
      <c r="I47" s="44"/>
      <c r="J47" s="44"/>
      <c r="K47" s="44"/>
      <c r="L47" s="44"/>
    </row>
    <row r="48" spans="1:12" hidden="1" x14ac:dyDescent="0.3">
      <c r="A48" s="44"/>
      <c r="B48" s="44"/>
      <c r="C48" s="44"/>
      <c r="D48" s="44"/>
      <c r="E48" s="44"/>
      <c r="F48" s="44"/>
      <c r="G48" s="44"/>
      <c r="H48" s="44"/>
      <c r="I48" s="44"/>
      <c r="J48" s="44"/>
      <c r="K48" s="44"/>
      <c r="L48" s="44"/>
    </row>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s="1" customFormat="1" hidden="1" x14ac:dyDescent="0.3"/>
    <row r="60" s="1" customFormat="1" hidden="1" x14ac:dyDescent="0.3"/>
    <row r="61" s="1" customFormat="1" hidden="1" x14ac:dyDescent="0.3"/>
    <row r="62" s="1" customFormat="1" hidden="1" x14ac:dyDescent="0.3"/>
    <row r="63" s="1" customFormat="1" hidden="1" x14ac:dyDescent="0.3"/>
    <row r="64" s="1" customFormat="1" ht="15.75" hidden="1" customHeight="1" x14ac:dyDescent="0.3"/>
  </sheetData>
  <sheetProtection algorithmName="SHA-512" hashValue="NjelOu4MxbGQxN8WUo672X0WUx6RK281qs/NyQsGxam0bLNGi9ZNXW9e4+TyP4CIEflZloeVh4FA/aesykruhg==" saltValue="57bTiBQRFcg2Q3nde/310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114</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33" t="s">
        <v>37</v>
      </c>
      <c r="C8" s="28"/>
      <c r="D8" s="28"/>
      <c r="E8" s="28"/>
      <c r="F8" s="19"/>
      <c r="G8" s="1"/>
    </row>
    <row r="9" spans="1:7" ht="17.25" customHeight="1" x14ac:dyDescent="0.3">
      <c r="A9" s="1"/>
      <c r="B9" s="81" t="s">
        <v>17</v>
      </c>
      <c r="C9" s="83" t="s">
        <v>11</v>
      </c>
      <c r="D9" s="82"/>
      <c r="E9" s="83" t="s">
        <v>27</v>
      </c>
      <c r="F9" s="32"/>
      <c r="G9" s="1"/>
    </row>
    <row r="10" spans="1:7" x14ac:dyDescent="0.3">
      <c r="A10" s="1"/>
      <c r="B10" s="24" t="s">
        <v>87</v>
      </c>
      <c r="C10" s="21">
        <f>'Fane 10. Anlægsprojekter (§ 19)'!H17</f>
        <v>0</v>
      </c>
      <c r="D10" s="14" t="s">
        <v>3</v>
      </c>
      <c r="E10" s="9">
        <f>'Fane 10. Anlægsprojekter (§ 19)'!F17+'Fane 10. Anlægsprojekter (§ 19)'!J17</f>
        <v>90379.333333333343</v>
      </c>
      <c r="F10" s="14" t="s">
        <v>3</v>
      </c>
      <c r="G10" s="1"/>
    </row>
    <row r="11" spans="1:7" x14ac:dyDescent="0.3">
      <c r="A11" s="1"/>
      <c r="B11" s="24" t="s">
        <v>233</v>
      </c>
      <c r="C11" s="21">
        <v>75798</v>
      </c>
      <c r="D11" s="14" t="s">
        <v>3</v>
      </c>
      <c r="E11" s="9">
        <v>290586</v>
      </c>
      <c r="F11" s="14" t="s">
        <v>3</v>
      </c>
      <c r="G11" s="1"/>
    </row>
    <row r="12" spans="1:7" x14ac:dyDescent="0.3">
      <c r="A12" s="1"/>
      <c r="B12" s="24"/>
      <c r="C12" s="21"/>
      <c r="D12" s="14" t="s">
        <v>3</v>
      </c>
      <c r="E12" s="9"/>
      <c r="F12" s="14" t="s">
        <v>3</v>
      </c>
      <c r="G12" s="1"/>
    </row>
    <row r="13" spans="1:7" x14ac:dyDescent="0.3">
      <c r="A13" s="1"/>
      <c r="B13" s="24"/>
      <c r="C13" s="21"/>
      <c r="D13" s="14" t="s">
        <v>3</v>
      </c>
      <c r="E13" s="9"/>
      <c r="F13" s="14" t="s">
        <v>3</v>
      </c>
      <c r="G13" s="1"/>
    </row>
    <row r="14" spans="1:7" x14ac:dyDescent="0.3">
      <c r="A14" s="1"/>
      <c r="B14" s="24"/>
      <c r="C14" s="21"/>
      <c r="D14" s="14" t="s">
        <v>3</v>
      </c>
      <c r="E14" s="9"/>
      <c r="F14" s="14" t="s">
        <v>3</v>
      </c>
      <c r="G14" s="1"/>
    </row>
    <row r="15" spans="1:7" x14ac:dyDescent="0.3">
      <c r="A15" s="1"/>
      <c r="B15" s="24"/>
      <c r="C15" s="21"/>
      <c r="D15" s="14" t="s">
        <v>3</v>
      </c>
      <c r="E15" s="9"/>
      <c r="F15" s="14" t="s">
        <v>3</v>
      </c>
      <c r="G15" s="1"/>
    </row>
    <row r="16" spans="1:7" x14ac:dyDescent="0.3">
      <c r="A16" s="1"/>
      <c r="B16" s="24"/>
      <c r="C16" s="21"/>
      <c r="D16" s="14" t="s">
        <v>3</v>
      </c>
      <c r="E16" s="9"/>
      <c r="F16" s="14" t="s">
        <v>3</v>
      </c>
      <c r="G16" s="1"/>
    </row>
    <row r="17" spans="1:7" x14ac:dyDescent="0.3">
      <c r="A17" s="1"/>
      <c r="B17" s="24"/>
      <c r="C17" s="21"/>
      <c r="D17" s="14" t="s">
        <v>3</v>
      </c>
      <c r="E17" s="9"/>
      <c r="F17" s="14" t="s">
        <v>3</v>
      </c>
      <c r="G17" s="1"/>
    </row>
    <row r="18" spans="1:7" x14ac:dyDescent="0.3">
      <c r="A18" s="1"/>
      <c r="B18" s="24"/>
      <c r="C18" s="21"/>
      <c r="D18" s="14" t="s">
        <v>3</v>
      </c>
      <c r="E18" s="9"/>
      <c r="F18" s="14" t="s">
        <v>3</v>
      </c>
      <c r="G18" s="1"/>
    </row>
    <row r="19" spans="1:7" x14ac:dyDescent="0.3">
      <c r="A19" s="1"/>
      <c r="B19" s="33" t="s">
        <v>139</v>
      </c>
      <c r="C19" s="12">
        <f>SUM(C10:C18)</f>
        <v>75798</v>
      </c>
      <c r="D19" s="13" t="s">
        <v>3</v>
      </c>
      <c r="E19" s="12">
        <f>SUM(E10:E18)</f>
        <v>380965.33333333337</v>
      </c>
      <c r="F19" s="13" t="s">
        <v>3</v>
      </c>
      <c r="G19" s="1"/>
    </row>
    <row r="20" spans="1:7" x14ac:dyDescent="0.3">
      <c r="A20" s="1"/>
      <c r="B20" s="33" t="s">
        <v>175</v>
      </c>
      <c r="C20" s="12">
        <f>C19*(1+'Fane 15. Nøgletal'!C10)</f>
        <v>80823.407399999996</v>
      </c>
      <c r="D20" s="13" t="s">
        <v>3</v>
      </c>
      <c r="E20" s="12">
        <f>E19*(1+'Fane 15. Nøgletal'!C10)</f>
        <v>406223.33493333339</v>
      </c>
      <c r="F20" s="13" t="s">
        <v>3</v>
      </c>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Rm//nOJ3JjI74oVIqa+tly2YtxzWOe+BRI4p8DepaYDfWSnJeL6m6Hj6JhivX+ptfe5XJk1rq04jDvbz3udeQA==" saltValue="mv0AxGCEJ4JJQlceVCGwv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44140625" style="2" bestFit="1"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115</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10" t="s">
        <v>176</v>
      </c>
      <c r="C8" s="111"/>
      <c r="D8" s="111"/>
      <c r="E8" s="111"/>
      <c r="F8" s="112"/>
      <c r="G8" s="1"/>
    </row>
    <row r="9" spans="1:7" x14ac:dyDescent="0.3">
      <c r="A9" s="1"/>
      <c r="B9" s="81" t="s">
        <v>17</v>
      </c>
      <c r="C9" s="83" t="s">
        <v>11</v>
      </c>
      <c r="D9" s="82"/>
      <c r="E9" s="83" t="s">
        <v>27</v>
      </c>
      <c r="F9" s="32"/>
      <c r="G9" s="1"/>
    </row>
    <row r="10" spans="1:7" x14ac:dyDescent="0.3">
      <c r="A10" s="1"/>
      <c r="B10" s="24" t="s">
        <v>234</v>
      </c>
      <c r="C10" s="21"/>
      <c r="D10" s="14" t="s">
        <v>3</v>
      </c>
      <c r="E10" s="9"/>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33" t="s">
        <v>177</v>
      </c>
      <c r="C13" s="12">
        <f>SUM(C10:C12)</f>
        <v>0</v>
      </c>
      <c r="D13" s="13" t="s">
        <v>3</v>
      </c>
      <c r="E13" s="12">
        <f>SUM(E10:E12)</f>
        <v>0</v>
      </c>
      <c r="F13" s="13" t="s">
        <v>3</v>
      </c>
      <c r="G13" s="1"/>
    </row>
    <row r="14" spans="1:7" x14ac:dyDescent="0.3">
      <c r="A14" s="1"/>
      <c r="B14" s="33" t="s">
        <v>178</v>
      </c>
      <c r="C14" s="12">
        <f>C13*(1+'Fane 15. Nøgletal'!C10)^2</f>
        <v>0</v>
      </c>
      <c r="D14" s="13" t="s">
        <v>3</v>
      </c>
      <c r="E14" s="12">
        <f>E13*(1+'Fane 15. Nøgletal'!C10)^2</f>
        <v>0</v>
      </c>
      <c r="F14" s="13" t="s">
        <v>3</v>
      </c>
      <c r="G14" s="1"/>
    </row>
    <row r="15" spans="1:7" x14ac:dyDescent="0.3">
      <c r="A15" s="1"/>
      <c r="B15" s="1"/>
      <c r="C15" s="1"/>
      <c r="D15" s="1"/>
      <c r="E15" s="1"/>
      <c r="F15" s="1"/>
      <c r="G15" s="1"/>
    </row>
    <row r="16" spans="1:7" x14ac:dyDescent="0.3">
      <c r="A16" s="1"/>
      <c r="B16" s="129"/>
      <c r="C16" s="129"/>
      <c r="D16" s="129"/>
      <c r="E16" s="129"/>
      <c r="F16" s="129"/>
      <c r="G16" s="1"/>
    </row>
    <row r="17" spans="1:7" x14ac:dyDescent="0.3">
      <c r="A17" s="1"/>
      <c r="B17" s="47"/>
      <c r="C17" s="47"/>
      <c r="D17" s="47"/>
      <c r="E17" s="47"/>
      <c r="F17" s="48"/>
      <c r="G17" s="1"/>
    </row>
    <row r="18" spans="1:7" x14ac:dyDescent="0.3">
      <c r="A18" s="1"/>
      <c r="B18" s="49"/>
      <c r="C18" s="50"/>
      <c r="D18" s="51"/>
      <c r="E18" s="52"/>
      <c r="F18" s="51"/>
      <c r="G18" s="1"/>
    </row>
    <row r="19" spans="1:7" x14ac:dyDescent="0.3">
      <c r="A19" s="1"/>
      <c r="B19" s="49"/>
      <c r="C19" s="50"/>
      <c r="D19" s="51"/>
      <c r="E19" s="52"/>
      <c r="F19" s="51"/>
      <c r="G19" s="1"/>
    </row>
    <row r="20" spans="1:7" x14ac:dyDescent="0.3">
      <c r="A20" s="1"/>
      <c r="B20" s="53"/>
      <c r="C20" s="54"/>
      <c r="D20" s="55"/>
      <c r="E20" s="54"/>
      <c r="F20" s="55"/>
      <c r="G20" s="1"/>
    </row>
    <row r="21" spans="1:7" x14ac:dyDescent="0.3">
      <c r="A21" s="1"/>
      <c r="B21" s="53"/>
      <c r="C21" s="54"/>
      <c r="D21" s="55"/>
      <c r="E21" s="54"/>
      <c r="F21" s="55"/>
      <c r="G21" s="1"/>
    </row>
    <row r="22" spans="1:7" x14ac:dyDescent="0.3">
      <c r="A22" s="1"/>
      <c r="B22" s="46"/>
      <c r="C22" s="46"/>
      <c r="D22" s="46"/>
      <c r="E22" s="46"/>
      <c r="F22" s="46"/>
      <c r="G22" s="1"/>
    </row>
    <row r="23" spans="1:7" x14ac:dyDescent="0.3">
      <c r="A23" s="1"/>
      <c r="B23" s="47"/>
      <c r="C23" s="47"/>
      <c r="D23" s="47"/>
      <c r="E23" s="47"/>
      <c r="F23" s="48"/>
      <c r="G23" s="1"/>
    </row>
    <row r="24" spans="1:7" x14ac:dyDescent="0.3">
      <c r="A24" s="1"/>
      <c r="B24" s="49"/>
      <c r="C24" s="50"/>
      <c r="D24" s="51"/>
      <c r="E24" s="52"/>
      <c r="F24" s="51"/>
      <c r="G24" s="1"/>
    </row>
    <row r="25" spans="1:7" x14ac:dyDescent="0.3">
      <c r="A25" s="1"/>
      <c r="B25" s="49"/>
      <c r="C25" s="50"/>
      <c r="D25" s="51"/>
      <c r="E25" s="52"/>
      <c r="F25" s="51"/>
      <c r="G25" s="1"/>
    </row>
    <row r="26" spans="1:7" x14ac:dyDescent="0.3">
      <c r="A26" s="1"/>
      <c r="B26" s="53"/>
      <c r="C26" s="54"/>
      <c r="D26" s="55"/>
      <c r="E26" s="54"/>
      <c r="F26" s="55"/>
      <c r="G26" s="1"/>
    </row>
    <row r="27" spans="1:7" x14ac:dyDescent="0.3">
      <c r="A27" s="1"/>
      <c r="B27" s="53"/>
      <c r="C27" s="54"/>
      <c r="D27" s="55"/>
      <c r="E27" s="54"/>
      <c r="F27" s="55"/>
      <c r="G27" s="1"/>
    </row>
    <row r="28" spans="1:7" x14ac:dyDescent="0.3">
      <c r="A28" s="1"/>
      <c r="B28" s="46"/>
      <c r="C28" s="46"/>
      <c r="D28" s="46"/>
      <c r="E28" s="46"/>
      <c r="F28" s="46"/>
      <c r="G28" s="1"/>
    </row>
    <row r="29" spans="1:7" x14ac:dyDescent="0.3">
      <c r="A29" s="1"/>
      <c r="B29" s="129"/>
      <c r="C29" s="129"/>
      <c r="D29" s="129"/>
      <c r="E29" s="129"/>
      <c r="F29" s="129"/>
      <c r="G29" s="1"/>
    </row>
    <row r="30" spans="1:7" x14ac:dyDescent="0.3">
      <c r="A30" s="1"/>
      <c r="B30" s="47"/>
      <c r="C30" s="47"/>
      <c r="D30" s="47"/>
      <c r="E30" s="47"/>
      <c r="F30" s="48"/>
      <c r="G30" s="1"/>
    </row>
    <row r="31" spans="1:7" x14ac:dyDescent="0.3">
      <c r="A31" s="1"/>
      <c r="B31" s="49"/>
      <c r="C31" s="50"/>
      <c r="D31" s="51"/>
      <c r="E31" s="52"/>
      <c r="F31" s="51"/>
      <c r="G31" s="1"/>
    </row>
    <row r="32" spans="1:7" x14ac:dyDescent="0.3">
      <c r="A32" s="1"/>
      <c r="B32" s="49"/>
      <c r="C32" s="50"/>
      <c r="D32" s="51"/>
      <c r="E32" s="52"/>
      <c r="F32" s="51"/>
      <c r="G32" s="1"/>
    </row>
    <row r="33" spans="1:7" x14ac:dyDescent="0.3">
      <c r="A33" s="1"/>
      <c r="B33" s="53"/>
      <c r="C33" s="54"/>
      <c r="D33" s="55"/>
      <c r="E33" s="54"/>
      <c r="F33" s="55"/>
      <c r="G33" s="1"/>
    </row>
    <row r="34" spans="1:7" x14ac:dyDescent="0.3">
      <c r="A34" s="1"/>
      <c r="B34" s="53"/>
      <c r="C34" s="54"/>
      <c r="D34" s="55"/>
      <c r="E34" s="54"/>
      <c r="F34" s="55"/>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VrFlprtbwuJ1cmPvnuU8bI/9hiT8LRW4aCgexDCaZf9fZWI8sJURYlXx9fElTx8pAnqe5GRL3ggZgpP5vF+CsA==" saltValue="SREVwDZ4TcpHc9Zm8EJs4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116</v>
      </c>
      <c r="C3" s="108"/>
      <c r="D3" s="108"/>
      <c r="E3" s="1"/>
    </row>
    <row r="4" spans="1:5" ht="15" customHeight="1" x14ac:dyDescent="0.3">
      <c r="A4" s="1"/>
      <c r="B4" s="108"/>
      <c r="C4" s="108"/>
      <c r="D4" s="108"/>
      <c r="E4" s="1"/>
    </row>
    <row r="5" spans="1:5" x14ac:dyDescent="0.3">
      <c r="A5" s="1"/>
      <c r="B5" s="108"/>
      <c r="C5" s="108"/>
      <c r="D5" s="108"/>
      <c r="E5" s="1"/>
    </row>
    <row r="6" spans="1:5" x14ac:dyDescent="0.3">
      <c r="A6" s="1"/>
      <c r="B6" s="1"/>
      <c r="C6" s="1"/>
      <c r="D6" s="1"/>
      <c r="E6" s="1"/>
    </row>
    <row r="7" spans="1:5" x14ac:dyDescent="0.3">
      <c r="A7" s="1"/>
      <c r="B7" s="1"/>
      <c r="C7" s="1"/>
      <c r="D7" s="1"/>
      <c r="E7" s="1"/>
    </row>
    <row r="8" spans="1:5" ht="14.25" customHeight="1" x14ac:dyDescent="0.3">
      <c r="A8" s="1"/>
      <c r="B8" s="110" t="s">
        <v>73</v>
      </c>
      <c r="C8" s="111"/>
      <c r="D8" s="112"/>
      <c r="E8" s="1"/>
    </row>
    <row r="9" spans="1:5" x14ac:dyDescent="0.3">
      <c r="A9" s="1"/>
      <c r="B9" s="68" t="s">
        <v>179</v>
      </c>
      <c r="C9" s="9">
        <f>2225913.37420874*(1+'Fane 15. Nøgletal'!C9)</f>
        <v>2405767.1748448061</v>
      </c>
      <c r="D9" s="14" t="s">
        <v>3</v>
      </c>
      <c r="E9" s="1"/>
    </row>
    <row r="10" spans="1:5" x14ac:dyDescent="0.3">
      <c r="A10" s="1"/>
      <c r="B10" s="64" t="s">
        <v>10</v>
      </c>
      <c r="C10" s="9">
        <f>-C9*'Fane 5. Individuelt eff. krav'!C9</f>
        <v>-34970.983893922654</v>
      </c>
      <c r="D10" s="14" t="s">
        <v>3</v>
      </c>
      <c r="E10" s="1"/>
    </row>
    <row r="11" spans="1:5" x14ac:dyDescent="0.3">
      <c r="A11" s="1"/>
      <c r="B11" s="64" t="s">
        <v>22</v>
      </c>
      <c r="C11" s="9">
        <f>-C9*'Fane 15. Nøgletal'!C21</f>
        <v>-48115.343496896123</v>
      </c>
      <c r="D11" s="14" t="s">
        <v>3</v>
      </c>
      <c r="E11" s="1"/>
    </row>
    <row r="12" spans="1:5" x14ac:dyDescent="0.3">
      <c r="A12" s="1"/>
      <c r="B12" s="77" t="s">
        <v>74</v>
      </c>
      <c r="C12" s="12">
        <f>SUM(C9:C11)*(1+'Fane 15. Nøgletal'!C9)^2</f>
        <v>2713190.0194904734</v>
      </c>
      <c r="D12" s="13" t="s">
        <v>3</v>
      </c>
      <c r="E12" s="1"/>
    </row>
    <row r="13" spans="1:5" x14ac:dyDescent="0.3">
      <c r="A13" s="1"/>
      <c r="B13" s="1"/>
      <c r="C13" s="1"/>
      <c r="D13" s="1"/>
      <c r="E13" s="1"/>
    </row>
    <row r="14" spans="1:5" ht="15" customHeight="1" x14ac:dyDescent="0.3">
      <c r="A14" s="1"/>
      <c r="B14" s="110" t="s">
        <v>84</v>
      </c>
      <c r="C14" s="111"/>
      <c r="D14" s="112"/>
      <c r="E14" s="1"/>
    </row>
    <row r="15" spans="1:5" x14ac:dyDescent="0.3">
      <c r="A15" s="1"/>
      <c r="B15" s="68" t="s">
        <v>179</v>
      </c>
      <c r="C15" s="9">
        <v>2305155.8903305726</v>
      </c>
      <c r="D15" s="14" t="s">
        <v>3</v>
      </c>
      <c r="E15" s="1"/>
    </row>
    <row r="16" spans="1:5" x14ac:dyDescent="0.3">
      <c r="A16" s="1"/>
      <c r="B16" s="64" t="s">
        <v>10</v>
      </c>
      <c r="C16" s="9">
        <f>-C15*'Fane 5. Individuelt eff. krav'!C9</f>
        <v>-33508.466802874093</v>
      </c>
      <c r="D16" s="14" t="s">
        <v>3</v>
      </c>
      <c r="E16" s="1"/>
    </row>
    <row r="17" spans="1:5" x14ac:dyDescent="0.3">
      <c r="A17" s="1"/>
      <c r="B17" s="64" t="s">
        <v>22</v>
      </c>
      <c r="C17" s="9">
        <f>-C15*'Fane 15. Nøgletal'!C21</f>
        <v>-46103.117806611452</v>
      </c>
      <c r="D17" s="14" t="s">
        <v>3</v>
      </c>
      <c r="E17" s="1"/>
    </row>
    <row r="18" spans="1:5" x14ac:dyDescent="0.3">
      <c r="A18" s="1"/>
      <c r="B18" s="77" t="s">
        <v>85</v>
      </c>
      <c r="C18" s="12">
        <f>SUM(C15:C17)*(1+'Fane 15. Nøgletal'!C10)^3</f>
        <v>2698202.0765055595</v>
      </c>
      <c r="D18" s="13" t="s">
        <v>3</v>
      </c>
      <c r="E18" s="1"/>
    </row>
    <row r="19" spans="1:5" x14ac:dyDescent="0.3">
      <c r="A19" s="1"/>
      <c r="B19" s="1"/>
      <c r="C19" s="1"/>
      <c r="D19" s="1"/>
      <c r="E19" s="1"/>
    </row>
    <row r="20" spans="1:5" ht="15" customHeight="1" x14ac:dyDescent="0.3">
      <c r="A20" s="1"/>
      <c r="B20" s="110" t="s">
        <v>140</v>
      </c>
      <c r="C20" s="111"/>
      <c r="D20" s="112"/>
      <c r="E20" s="1"/>
    </row>
    <row r="21" spans="1:5" x14ac:dyDescent="0.3">
      <c r="A21" s="1"/>
      <c r="B21" s="68" t="s">
        <v>179</v>
      </c>
      <c r="C21" s="9">
        <v>2305155.8903305726</v>
      </c>
      <c r="D21" s="14" t="s">
        <v>3</v>
      </c>
      <c r="E21" s="1"/>
    </row>
    <row r="22" spans="1:5" x14ac:dyDescent="0.3">
      <c r="A22" s="1"/>
      <c r="B22" s="64" t="s">
        <v>10</v>
      </c>
      <c r="C22" s="9">
        <f>-C21*'Fane 5. Individuelt eff. krav'!C9</f>
        <v>-33508.466802874093</v>
      </c>
      <c r="D22" s="14" t="s">
        <v>3</v>
      </c>
      <c r="E22" s="1"/>
    </row>
    <row r="23" spans="1:5" x14ac:dyDescent="0.3">
      <c r="A23" s="1"/>
      <c r="B23" s="64" t="s">
        <v>22</v>
      </c>
      <c r="C23" s="9">
        <f>-C21*'Fane 15. Nøgletal'!C21</f>
        <v>-46103.117806611452</v>
      </c>
      <c r="D23" s="14" t="s">
        <v>3</v>
      </c>
      <c r="E23" s="1"/>
    </row>
    <row r="24" spans="1:5" x14ac:dyDescent="0.3">
      <c r="A24" s="1"/>
      <c r="B24" s="77" t="s">
        <v>141</v>
      </c>
      <c r="C24" s="12">
        <f>SUM(C21:C23)*(1+'Fane 15. Nøgletal'!C10)^4</f>
        <v>2877092.8741778778</v>
      </c>
      <c r="D24" s="13" t="s">
        <v>3</v>
      </c>
      <c r="E24" s="1"/>
    </row>
    <row r="25" spans="1:5" x14ac:dyDescent="0.3">
      <c r="A25" s="1"/>
      <c r="B25" s="1"/>
      <c r="C25" s="1"/>
      <c r="D25" s="1"/>
      <c r="E25" s="1"/>
    </row>
    <row r="26" spans="1:5" ht="15" customHeight="1" x14ac:dyDescent="0.3">
      <c r="A26" s="1"/>
      <c r="B26" s="110" t="s">
        <v>180</v>
      </c>
      <c r="C26" s="111"/>
      <c r="D26" s="112"/>
      <c r="E26" s="1"/>
    </row>
    <row r="27" spans="1:5" ht="14.25" customHeight="1" x14ac:dyDescent="0.3">
      <c r="A27" s="1"/>
      <c r="B27" s="68" t="s">
        <v>179</v>
      </c>
      <c r="C27" s="9">
        <v>2305155.8903305726</v>
      </c>
      <c r="D27" s="14" t="s">
        <v>3</v>
      </c>
      <c r="E27" s="1"/>
    </row>
    <row r="28" spans="1:5" x14ac:dyDescent="0.3">
      <c r="A28" s="1"/>
      <c r="B28" s="64" t="s">
        <v>10</v>
      </c>
      <c r="C28" s="9">
        <f>-C27*'Fane 5. Individuelt eff. krav'!C9</f>
        <v>-33508.466802874093</v>
      </c>
      <c r="D28" s="14" t="s">
        <v>3</v>
      </c>
      <c r="E28" s="1"/>
    </row>
    <row r="29" spans="1:5" x14ac:dyDescent="0.3">
      <c r="A29" s="1"/>
      <c r="B29" s="64" t="s">
        <v>22</v>
      </c>
      <c r="C29" s="9">
        <f>-C27*'Fane 15. Nøgletal'!C21</f>
        <v>-46103.117806611452</v>
      </c>
      <c r="D29" s="14" t="s">
        <v>3</v>
      </c>
      <c r="E29" s="1"/>
    </row>
    <row r="30" spans="1:5" x14ac:dyDescent="0.3">
      <c r="A30" s="1"/>
      <c r="B30" s="77" t="s">
        <v>181</v>
      </c>
      <c r="C30" s="12">
        <f>SUM(C27:C29)*(1+'Fane 15. Nøgletal'!C10)^5</f>
        <v>3067844.1317358715</v>
      </c>
      <c r="D30" s="13" t="s">
        <v>3</v>
      </c>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L2bDUGmOG713NtukaHsAYThXJdjWJsaQA/WtRQFgCv070m1lZo4VQJ1ibDDG2rXX2XS1W6W9bkpEEflRnt+aCA==" saltValue="Aj28JaxpQ/ueV2lIZj1Hj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8" t="s">
        <v>117</v>
      </c>
      <c r="C3" s="108"/>
      <c r="D3" s="108"/>
      <c r="E3" s="108"/>
      <c r="F3" s="108"/>
      <c r="G3" s="1"/>
    </row>
    <row r="4" spans="1:7" ht="15" customHeight="1" x14ac:dyDescent="0.3">
      <c r="A4" s="1"/>
      <c r="B4" s="108"/>
      <c r="C4" s="108"/>
      <c r="D4" s="108"/>
      <c r="E4" s="108"/>
      <c r="F4" s="108"/>
      <c r="G4" s="1"/>
    </row>
    <row r="5" spans="1:7" x14ac:dyDescent="0.3">
      <c r="A5" s="1"/>
      <c r="B5" s="108"/>
      <c r="C5" s="108"/>
      <c r="D5" s="108"/>
      <c r="E5" s="108"/>
      <c r="F5" s="108"/>
      <c r="G5" s="1"/>
    </row>
    <row r="6" spans="1:7" x14ac:dyDescent="0.3">
      <c r="A6" s="1"/>
      <c r="B6" s="1"/>
      <c r="C6" s="1"/>
      <c r="D6" s="1"/>
      <c r="E6" s="1"/>
      <c r="F6" s="1"/>
      <c r="G6" s="1"/>
    </row>
    <row r="7" spans="1:7" x14ac:dyDescent="0.3">
      <c r="A7" s="1"/>
      <c r="B7" s="1"/>
      <c r="C7" s="1"/>
      <c r="D7" s="1"/>
      <c r="E7" s="1"/>
      <c r="F7" s="1"/>
      <c r="G7" s="1"/>
    </row>
    <row r="8" spans="1:7" x14ac:dyDescent="0.3">
      <c r="A8" s="1"/>
      <c r="B8" s="110" t="s">
        <v>66</v>
      </c>
      <c r="C8" s="111"/>
      <c r="D8" s="111"/>
      <c r="E8" s="111"/>
      <c r="F8" s="112"/>
      <c r="G8" s="1"/>
    </row>
    <row r="9" spans="1:7" ht="15" customHeight="1" x14ac:dyDescent="0.3">
      <c r="A9" s="1"/>
      <c r="B9" s="31" t="s">
        <v>67</v>
      </c>
      <c r="C9" s="27" t="s">
        <v>11</v>
      </c>
      <c r="D9" s="32"/>
      <c r="E9" s="27" t="s">
        <v>27</v>
      </c>
      <c r="F9" s="32"/>
      <c r="G9" s="1"/>
    </row>
    <row r="10" spans="1:7" ht="27" x14ac:dyDescent="0.3">
      <c r="A10" s="1"/>
      <c r="B10" s="70" t="s">
        <v>220</v>
      </c>
      <c r="C10" s="9">
        <v>0</v>
      </c>
      <c r="D10" s="14" t="s">
        <v>3</v>
      </c>
      <c r="E10" s="9">
        <v>0</v>
      </c>
      <c r="F10" s="14" t="s">
        <v>3</v>
      </c>
      <c r="G10" s="1"/>
    </row>
    <row r="11" spans="1:7" ht="28.5" customHeight="1" x14ac:dyDescent="0.3">
      <c r="A11" s="1"/>
      <c r="B11" s="20" t="s">
        <v>142</v>
      </c>
      <c r="C11" s="12">
        <f>SUM(C10:C10)</f>
        <v>0</v>
      </c>
      <c r="D11" s="13" t="s">
        <v>3</v>
      </c>
      <c r="E11" s="12">
        <f>SUM(E10:E10)</f>
        <v>0</v>
      </c>
      <c r="F11" s="13" t="s">
        <v>3</v>
      </c>
      <c r="G11" s="1"/>
    </row>
    <row r="12" spans="1:7" ht="27" customHeight="1" x14ac:dyDescent="0.3">
      <c r="A12" s="1"/>
      <c r="B12" s="20" t="s">
        <v>182</v>
      </c>
      <c r="C12" s="12">
        <f>C11*(1+'Fane 15. Nøgletal'!C10)</f>
        <v>0</v>
      </c>
      <c r="D12" s="13" t="s">
        <v>3</v>
      </c>
      <c r="E12" s="12">
        <f>E11*(1+'Fane 15. Nøgletal'!C10)</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hidden="1" x14ac:dyDescent="0.3"/>
    <row r="47" spans="1:7" hidden="1" x14ac:dyDescent="0.3"/>
  </sheetData>
  <sheetProtection algorithmName="SHA-512" hashValue="nXkRu3PNUqSSFDBE+33/49v5VbBdzHU9sDEh2DGa2HaEbGHrxYsa4rILD/UVGJnA/TcNDx4/LmQY0GwDHOvuFg==" saltValue="rvTEJ/xOxLpnIXvSXxWL7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4" zeroHeight="1" x14ac:dyDescent="0.3"/>
  <cols>
    <col min="1" max="1" width="5.10937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1093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8" t="s">
        <v>118</v>
      </c>
      <c r="C3" s="108"/>
      <c r="D3" s="108"/>
      <c r="E3" s="108"/>
      <c r="F3" s="108"/>
      <c r="G3" s="1"/>
    </row>
    <row r="4" spans="1:7" ht="15" customHeight="1" x14ac:dyDescent="0.3">
      <c r="A4" s="1"/>
      <c r="B4" s="108"/>
      <c r="C4" s="108"/>
      <c r="D4" s="108"/>
      <c r="E4" s="108"/>
      <c r="F4" s="108"/>
      <c r="G4" s="1"/>
    </row>
    <row r="5" spans="1:7" x14ac:dyDescent="0.3">
      <c r="A5" s="1"/>
      <c r="B5" s="108"/>
      <c r="C5" s="108"/>
      <c r="D5" s="108"/>
      <c r="E5" s="108"/>
      <c r="F5" s="108"/>
      <c r="G5" s="1"/>
    </row>
    <row r="6" spans="1:7" x14ac:dyDescent="0.3">
      <c r="A6" s="1"/>
      <c r="B6" s="1"/>
      <c r="C6" s="1"/>
      <c r="D6" s="1"/>
      <c r="E6" s="1"/>
      <c r="F6" s="1"/>
      <c r="G6" s="1"/>
    </row>
    <row r="7" spans="1:7" x14ac:dyDescent="0.3">
      <c r="A7" s="1"/>
      <c r="B7" s="1"/>
      <c r="C7" s="1"/>
      <c r="D7" s="1"/>
      <c r="E7" s="1"/>
      <c r="F7" s="1"/>
      <c r="G7" s="1"/>
    </row>
    <row r="8" spans="1:7" ht="15" customHeight="1" x14ac:dyDescent="0.3">
      <c r="A8" s="1"/>
      <c r="B8" s="110" t="s">
        <v>183</v>
      </c>
      <c r="C8" s="111"/>
      <c r="D8" s="111"/>
      <c r="E8" s="111"/>
      <c r="F8" s="112"/>
      <c r="G8" s="1"/>
    </row>
    <row r="9" spans="1:7" x14ac:dyDescent="0.3">
      <c r="A9" s="1"/>
      <c r="B9" s="31" t="s">
        <v>18</v>
      </c>
      <c r="C9" s="130" t="s">
        <v>11</v>
      </c>
      <c r="D9" s="131"/>
      <c r="E9" s="130" t="s">
        <v>27</v>
      </c>
      <c r="F9" s="131"/>
      <c r="G9" s="1"/>
    </row>
    <row r="10" spans="1:7" x14ac:dyDescent="0.3">
      <c r="A10" s="1"/>
      <c r="B10" s="70" t="s">
        <v>221</v>
      </c>
      <c r="C10" s="9">
        <v>0</v>
      </c>
      <c r="D10" s="14" t="s">
        <v>3</v>
      </c>
      <c r="E10" s="9">
        <v>0</v>
      </c>
      <c r="F10" s="14" t="s">
        <v>3</v>
      </c>
      <c r="G10" s="1"/>
    </row>
    <row r="11" spans="1:7" x14ac:dyDescent="0.3">
      <c r="A11" s="1"/>
      <c r="B11" s="33" t="s">
        <v>143</v>
      </c>
      <c r="C11" s="12">
        <f>SUM(C10:C10)</f>
        <v>0</v>
      </c>
      <c r="D11" s="13" t="s">
        <v>3</v>
      </c>
      <c r="E11" s="12">
        <f>SUM(E10:E10)</f>
        <v>0</v>
      </c>
      <c r="F11" s="13" t="s">
        <v>3</v>
      </c>
      <c r="G11" s="1"/>
    </row>
    <row r="12" spans="1:7" x14ac:dyDescent="0.3">
      <c r="A12" s="1"/>
      <c r="B12" s="33" t="s">
        <v>214</v>
      </c>
      <c r="C12" s="12">
        <f>C11*(1+'Fane 15. Nøgletal'!C10)^2</f>
        <v>0</v>
      </c>
      <c r="D12" s="13" t="s">
        <v>3</v>
      </c>
      <c r="E12" s="12">
        <f>E11*(1+'Fane 15. Nøgletal'!C10)^2</f>
        <v>0</v>
      </c>
      <c r="F12" s="13" t="s">
        <v>3</v>
      </c>
      <c r="G12" s="1"/>
    </row>
    <row r="13" spans="1:7" x14ac:dyDescent="0.3">
      <c r="A13" s="1"/>
      <c r="B13" s="1"/>
      <c r="C13" s="1"/>
      <c r="D13" s="1"/>
      <c r="E13" s="1"/>
      <c r="F13" s="1"/>
      <c r="G13" s="1"/>
    </row>
    <row r="14" spans="1:7" x14ac:dyDescent="0.3">
      <c r="A14" s="1"/>
      <c r="B14" s="129"/>
      <c r="C14" s="129"/>
      <c r="D14" s="129"/>
      <c r="E14" s="129"/>
      <c r="F14" s="129"/>
      <c r="G14" s="1"/>
    </row>
    <row r="15" spans="1:7" x14ac:dyDescent="0.3">
      <c r="A15" s="1"/>
      <c r="B15" s="48"/>
      <c r="C15" s="48"/>
      <c r="D15" s="48"/>
      <c r="E15" s="48"/>
      <c r="F15" s="48"/>
      <c r="G15" s="1"/>
    </row>
    <row r="16" spans="1:7" x14ac:dyDescent="0.3">
      <c r="A16" s="1"/>
      <c r="B16" s="49"/>
      <c r="C16" s="52"/>
      <c r="D16" s="51"/>
      <c r="E16" s="52"/>
      <c r="F16" s="51"/>
      <c r="G16" s="1"/>
    </row>
    <row r="17" spans="1:7" x14ac:dyDescent="0.3">
      <c r="A17" s="1"/>
      <c r="B17" s="49"/>
      <c r="C17" s="52"/>
      <c r="D17" s="51"/>
      <c r="E17" s="52"/>
      <c r="F17" s="51"/>
      <c r="G17" s="1"/>
    </row>
    <row r="18" spans="1:7" x14ac:dyDescent="0.3">
      <c r="A18" s="1"/>
      <c r="B18" s="53"/>
      <c r="C18" s="54"/>
      <c r="D18" s="55"/>
      <c r="E18" s="54"/>
      <c r="F18" s="55"/>
      <c r="G18" s="1"/>
    </row>
    <row r="19" spans="1:7" x14ac:dyDescent="0.3">
      <c r="A19" s="1"/>
      <c r="B19" s="53"/>
      <c r="C19" s="54"/>
      <c r="D19" s="55"/>
      <c r="E19" s="54"/>
      <c r="F19" s="55"/>
      <c r="G19" s="1"/>
    </row>
    <row r="20" spans="1:7" x14ac:dyDescent="0.3">
      <c r="A20" s="1"/>
      <c r="B20" s="46"/>
      <c r="C20" s="46"/>
      <c r="D20" s="46"/>
      <c r="E20" s="46"/>
      <c r="F20" s="46"/>
      <c r="G20" s="1"/>
    </row>
    <row r="21" spans="1:7" x14ac:dyDescent="0.3">
      <c r="A21" s="1"/>
      <c r="B21" s="129"/>
      <c r="C21" s="129"/>
      <c r="D21" s="129"/>
      <c r="E21" s="129"/>
      <c r="F21" s="129"/>
      <c r="G21" s="1"/>
    </row>
    <row r="22" spans="1:7" x14ac:dyDescent="0.3">
      <c r="A22" s="1"/>
      <c r="B22" s="48"/>
      <c r="C22" s="48"/>
      <c r="D22" s="48"/>
      <c r="E22" s="48"/>
      <c r="F22" s="48"/>
      <c r="G22" s="1"/>
    </row>
    <row r="23" spans="1:7" x14ac:dyDescent="0.3">
      <c r="A23" s="1"/>
      <c r="B23" s="49"/>
      <c r="C23" s="52"/>
      <c r="D23" s="51"/>
      <c r="E23" s="52"/>
      <c r="F23" s="51"/>
      <c r="G23" s="1"/>
    </row>
    <row r="24" spans="1:7" x14ac:dyDescent="0.3">
      <c r="A24" s="1"/>
      <c r="B24" s="53"/>
      <c r="C24" s="54"/>
      <c r="D24" s="55"/>
      <c r="E24" s="54"/>
      <c r="F24" s="55"/>
      <c r="G24" s="1"/>
    </row>
    <row r="25" spans="1:7" x14ac:dyDescent="0.3">
      <c r="A25" s="1"/>
      <c r="B25" s="53"/>
      <c r="C25" s="54"/>
      <c r="D25" s="55"/>
      <c r="E25" s="54"/>
      <c r="F25" s="55"/>
      <c r="G25" s="1"/>
    </row>
    <row r="26" spans="1:7" x14ac:dyDescent="0.3">
      <c r="A26" s="1"/>
      <c r="B26" s="46"/>
      <c r="C26" s="46"/>
      <c r="D26" s="46"/>
      <c r="E26" s="46"/>
      <c r="F26" s="46"/>
      <c r="G26" s="1"/>
    </row>
    <row r="27" spans="1:7" x14ac:dyDescent="0.3">
      <c r="A27" s="1"/>
      <c r="B27" s="129"/>
      <c r="C27" s="129"/>
      <c r="D27" s="129"/>
      <c r="E27" s="129"/>
      <c r="F27" s="129"/>
      <c r="G27" s="1"/>
    </row>
    <row r="28" spans="1:7" x14ac:dyDescent="0.3">
      <c r="A28" s="1"/>
      <c r="B28" s="48"/>
      <c r="C28" s="48"/>
      <c r="D28" s="48"/>
      <c r="E28" s="48"/>
      <c r="F28" s="48"/>
      <c r="G28" s="1"/>
    </row>
    <row r="29" spans="1:7" x14ac:dyDescent="0.3">
      <c r="A29" s="1"/>
      <c r="B29" s="49"/>
      <c r="C29" s="52"/>
      <c r="D29" s="51"/>
      <c r="E29" s="52"/>
      <c r="F29" s="51"/>
      <c r="G29" s="1"/>
    </row>
    <row r="30" spans="1:7" x14ac:dyDescent="0.3">
      <c r="A30" s="1"/>
      <c r="B30" s="53"/>
      <c r="C30" s="54"/>
      <c r="D30" s="55"/>
      <c r="E30" s="54"/>
      <c r="F30" s="55"/>
      <c r="G30" s="1"/>
    </row>
    <row r="31" spans="1:7" x14ac:dyDescent="0.3">
      <c r="A31" s="1"/>
      <c r="B31" s="53"/>
      <c r="C31" s="54"/>
      <c r="D31" s="55"/>
      <c r="E31" s="54"/>
      <c r="F31" s="55"/>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WjitPqJuYadA3JRhi7ejiiC1I5bCxA00kfD52R8Yb15Kp7uaC133YqzAtvsr+rEsPVGrc6bt16wBkYRalkZpkw==" saltValue="BvHAdjA0EoSNnkExV33PI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155</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x14ac:dyDescent="0.3">
      <c r="A9" s="1"/>
      <c r="B9" s="29" t="s">
        <v>90</v>
      </c>
      <c r="C9" s="7">
        <f>'Fane 3. Omkostninger i ØR2024'!C20</f>
        <v>90585300.271633938</v>
      </c>
      <c r="D9" s="8" t="s">
        <v>3</v>
      </c>
      <c r="E9" s="1"/>
    </row>
    <row r="10" spans="1:5" ht="17.25" customHeight="1" x14ac:dyDescent="0.3">
      <c r="A10" s="1"/>
      <c r="B10" s="64" t="s">
        <v>35</v>
      </c>
      <c r="C10" s="7">
        <f>'Fane 11.1. Varige tillæg'!C20</f>
        <v>80823.407399999996</v>
      </c>
      <c r="D10" s="8" t="s">
        <v>3</v>
      </c>
      <c r="E10" s="1"/>
    </row>
    <row r="11" spans="1:5" ht="17.25" customHeight="1" x14ac:dyDescent="0.3">
      <c r="A11" s="1"/>
      <c r="B11" s="64" t="s">
        <v>36</v>
      </c>
      <c r="C11" s="9">
        <f>'Fane 11.1. Varige tillæg'!E20</f>
        <v>406223.33493333339</v>
      </c>
      <c r="D11" s="8" t="s">
        <v>3</v>
      </c>
      <c r="E11" s="1"/>
    </row>
    <row r="12" spans="1:5" ht="17.25" customHeight="1" x14ac:dyDescent="0.3">
      <c r="A12" s="1"/>
      <c r="B12" s="64" t="s">
        <v>25</v>
      </c>
      <c r="C12" s="9">
        <f>-'Fane 14. Bortfald'!C12</f>
        <v>0</v>
      </c>
      <c r="D12" s="8" t="s">
        <v>3</v>
      </c>
      <c r="E12" s="1"/>
    </row>
    <row r="13" spans="1:5" ht="17.25" customHeight="1" x14ac:dyDescent="0.3">
      <c r="A13" s="1"/>
      <c r="B13" s="64" t="s">
        <v>24</v>
      </c>
      <c r="C13" s="9">
        <f>-'Fane 14. Bortfald'!E12</f>
        <v>0</v>
      </c>
      <c r="D13" s="8" t="s">
        <v>3</v>
      </c>
      <c r="E13" s="1"/>
    </row>
    <row r="14" spans="1:5" ht="17.25" customHeight="1" x14ac:dyDescent="0.3">
      <c r="A14" s="1"/>
      <c r="B14" s="64" t="s">
        <v>62</v>
      </c>
      <c r="C14" s="9">
        <f>'Fane 13. Tilknyttet virksomhed'!C12</f>
        <v>0</v>
      </c>
      <c r="D14" s="8" t="s">
        <v>3</v>
      </c>
      <c r="E14" s="1"/>
    </row>
    <row r="15" spans="1:5" ht="17.25" customHeight="1" x14ac:dyDescent="0.3">
      <c r="A15" s="1"/>
      <c r="B15" s="64" t="s">
        <v>63</v>
      </c>
      <c r="C15" s="9">
        <f>'Fane 13. Tilknyttet virksomhed'!E12</f>
        <v>0</v>
      </c>
      <c r="D15" s="8" t="s">
        <v>3</v>
      </c>
      <c r="E15" s="1"/>
    </row>
    <row r="16" spans="1:5" ht="17.25" customHeight="1" x14ac:dyDescent="0.3">
      <c r="A16" s="1"/>
      <c r="B16" s="64" t="s">
        <v>19</v>
      </c>
      <c r="C16" s="38">
        <f>SUM(C9)*'Fane 15. Nøgletal'!C9+SUM(C10:C11,C14:C15)*'Fane 15. Nøgletal'!C10</f>
        <v>7351583.4609647216</v>
      </c>
      <c r="D16" s="8" t="s">
        <v>3</v>
      </c>
      <c r="E16" s="1"/>
    </row>
    <row r="17" spans="1:5" ht="17.25" customHeight="1" x14ac:dyDescent="0.3">
      <c r="A17" s="1"/>
      <c r="B17" s="64" t="s">
        <v>10</v>
      </c>
      <c r="C17" s="38">
        <f>-SUM(C9,C10:C16)*'Fane 5. Individuelt eff. krav'!C9</f>
        <v>-1430721.0287867731</v>
      </c>
      <c r="D17" s="8" t="s">
        <v>3</v>
      </c>
      <c r="E17" s="1"/>
    </row>
    <row r="18" spans="1:5" ht="17.25" customHeight="1" x14ac:dyDescent="0.3">
      <c r="A18" s="1"/>
      <c r="B18" s="64" t="s">
        <v>22</v>
      </c>
      <c r="C18" s="38">
        <f>-'Fane 4.1. Gen. krav - drift'!C17</f>
        <v>-380891.62174384197</v>
      </c>
      <c r="D18" s="8" t="s">
        <v>3</v>
      </c>
      <c r="E18" s="1"/>
    </row>
    <row r="19" spans="1:5" ht="17.25" customHeight="1" x14ac:dyDescent="0.3">
      <c r="A19" s="1"/>
      <c r="B19" s="64" t="s">
        <v>23</v>
      </c>
      <c r="C19" s="38">
        <f>-'Fane 4.2. Gen. krav - anlæg'!C17</f>
        <v>0</v>
      </c>
      <c r="D19" s="8" t="s">
        <v>3</v>
      </c>
      <c r="E19" s="43"/>
    </row>
    <row r="20" spans="1:5" ht="17.25" customHeight="1" x14ac:dyDescent="0.3">
      <c r="A20" s="1"/>
      <c r="B20" s="83" t="s">
        <v>21</v>
      </c>
      <c r="C20" s="10">
        <f>SUM(C9:C19)</f>
        <v>96612317.824401379</v>
      </c>
      <c r="D20" s="11" t="s">
        <v>3</v>
      </c>
      <c r="E20" s="1"/>
    </row>
    <row r="21" spans="1:5" ht="15" customHeight="1" x14ac:dyDescent="0.3">
      <c r="A21" s="1"/>
      <c r="B21" s="33" t="s">
        <v>12</v>
      </c>
      <c r="C21" s="28"/>
      <c r="D21" s="19"/>
      <c r="E21" s="1"/>
    </row>
    <row r="22" spans="1:5" ht="15" customHeight="1" x14ac:dyDescent="0.3">
      <c r="A22" s="1"/>
      <c r="B22" s="31" t="s">
        <v>12</v>
      </c>
      <c r="C22" s="10">
        <f>'Fane 6. Ikke-påvirkelige omk.'!C21+'Fane 6. Ikke-påvirkelige omk.'!C25+'Fane 6. Ikke-påvirkelige omk.'!C33</f>
        <v>23927825.16972705</v>
      </c>
      <c r="D22" s="11" t="s">
        <v>3</v>
      </c>
      <c r="E22" s="1"/>
    </row>
    <row r="23" spans="1:5" ht="15" customHeight="1" x14ac:dyDescent="0.3">
      <c r="A23" s="1"/>
      <c r="B23" s="33" t="s">
        <v>42</v>
      </c>
      <c r="C23" s="28"/>
      <c r="D23" s="19"/>
      <c r="E23" s="1"/>
    </row>
    <row r="24" spans="1:5" ht="15" customHeight="1" x14ac:dyDescent="0.3">
      <c r="A24" s="1"/>
      <c r="B24" s="83" t="s">
        <v>42</v>
      </c>
      <c r="C24" s="10">
        <f>'Fane 12. Periodevise driftsomk.'!C12</f>
        <v>2713190.0194904734</v>
      </c>
      <c r="D24" s="11" t="s">
        <v>3</v>
      </c>
      <c r="E24" s="1"/>
    </row>
    <row r="25" spans="1:5" ht="15" customHeight="1" x14ac:dyDescent="0.3">
      <c r="A25" s="1"/>
      <c r="B25" s="41" t="s">
        <v>41</v>
      </c>
      <c r="C25" s="39"/>
      <c r="D25" s="40"/>
      <c r="E25" s="1"/>
    </row>
    <row r="26" spans="1:5" ht="15" customHeight="1" x14ac:dyDescent="0.3">
      <c r="A26" s="1"/>
      <c r="B26" s="64" t="s">
        <v>89</v>
      </c>
      <c r="C26" s="38">
        <f>'Fane 11.2. Engangstillæg'!C14</f>
        <v>0</v>
      </c>
      <c r="D26" s="8" t="s">
        <v>3</v>
      </c>
      <c r="E26" s="1"/>
    </row>
    <row r="27" spans="1:5" ht="15" customHeight="1" x14ac:dyDescent="0.3">
      <c r="A27" s="1"/>
      <c r="B27" s="64" t="s">
        <v>38</v>
      </c>
      <c r="C27" s="38">
        <f>'Fane 11.2. Engangstillæg'!E14</f>
        <v>0</v>
      </c>
      <c r="D27" s="8" t="s">
        <v>3</v>
      </c>
      <c r="E27" s="1"/>
    </row>
    <row r="28" spans="1:5" ht="15" customHeight="1" x14ac:dyDescent="0.3">
      <c r="A28" s="1"/>
      <c r="B28" s="64" t="s">
        <v>92</v>
      </c>
      <c r="C28" s="38">
        <f>-C26*('Fane 15. Nøgletal'!C21+'Fane 5. Individuelt eff. krav'!C9)</f>
        <v>0</v>
      </c>
      <c r="D28" s="8" t="s">
        <v>3</v>
      </c>
      <c r="E28" s="1"/>
    </row>
    <row r="29" spans="1:5" ht="15" customHeight="1" x14ac:dyDescent="0.3">
      <c r="A29" s="1"/>
      <c r="B29" s="64" t="s">
        <v>93</v>
      </c>
      <c r="C29" s="38">
        <f>-C27*('Fane 15. Nøgletal'!C16+'Fane 5. Individuelt eff. krav'!C9)</f>
        <v>0</v>
      </c>
      <c r="D29" s="8" t="s">
        <v>3</v>
      </c>
      <c r="E29" s="1"/>
    </row>
    <row r="30" spans="1:5" ht="15" customHeight="1" x14ac:dyDescent="0.3">
      <c r="A30" s="1"/>
      <c r="B30" s="67" t="s">
        <v>43</v>
      </c>
      <c r="C30" s="10">
        <f>SUM(C26:C29)</f>
        <v>0</v>
      </c>
      <c r="D30" s="11" t="s">
        <v>3</v>
      </c>
      <c r="E30" s="1"/>
    </row>
    <row r="31" spans="1:5" x14ac:dyDescent="0.3">
      <c r="A31" s="1"/>
      <c r="B31" s="33" t="s">
        <v>69</v>
      </c>
      <c r="C31" s="28"/>
      <c r="D31" s="19"/>
      <c r="E31" s="1"/>
    </row>
    <row r="32" spans="1:5" x14ac:dyDescent="0.3">
      <c r="A32" s="1"/>
      <c r="B32" s="31" t="s">
        <v>79</v>
      </c>
      <c r="C32" s="62">
        <f>'Fane 7. Kontrol af ØR2023'!C27</f>
        <v>0</v>
      </c>
      <c r="D32" s="11" t="s">
        <v>3</v>
      </c>
      <c r="E32" s="1"/>
    </row>
    <row r="33" spans="1:5" ht="15" customHeight="1" x14ac:dyDescent="0.3">
      <c r="A33" s="1"/>
      <c r="B33" s="33" t="s">
        <v>154</v>
      </c>
      <c r="C33" s="28"/>
      <c r="D33" s="19"/>
      <c r="E33" s="1"/>
    </row>
    <row r="34" spans="1:5" x14ac:dyDescent="0.3">
      <c r="A34" s="1"/>
      <c r="B34" s="31" t="s">
        <v>154</v>
      </c>
      <c r="C34" s="10">
        <f>'Fane 9. Korrektion af ØR2023'!C16</f>
        <v>-2398639.3869838929</v>
      </c>
      <c r="D34" s="11" t="s">
        <v>3</v>
      </c>
      <c r="E34" s="1"/>
    </row>
    <row r="35" spans="1:5" x14ac:dyDescent="0.3">
      <c r="A35" s="1"/>
      <c r="B35" s="30" t="s">
        <v>75</v>
      </c>
      <c r="C35" s="28"/>
      <c r="D35" s="19"/>
      <c r="E35" s="1"/>
    </row>
    <row r="36" spans="1:5" x14ac:dyDescent="0.3">
      <c r="A36" s="1"/>
      <c r="B36" s="67" t="s">
        <v>76</v>
      </c>
      <c r="C36" s="10">
        <f>'Fane 8. Skattesagen'!C14</f>
        <v>0</v>
      </c>
      <c r="D36" s="11" t="s">
        <v>3</v>
      </c>
      <c r="E36" s="1"/>
    </row>
    <row r="37" spans="1:5" x14ac:dyDescent="0.3">
      <c r="A37" s="1"/>
      <c r="B37" s="33" t="s">
        <v>71</v>
      </c>
      <c r="C37" s="45">
        <f>SUM(C34,C32,C24,C30,C22,C20,C36)</f>
        <v>120854693.62663502</v>
      </c>
      <c r="D37" s="30" t="s">
        <v>3</v>
      </c>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sheetData>
  <sheetProtection algorithmName="SHA-512" hashValue="tehfELNCuUy38xlg6hTs763iALxBdj/YhL/2ADfVJWnVJPvc2YHaDQI/3/Gu6UHOuQrLHC2R4jxioHZm5WTzzQ==" saltValue="LpTtdpxI6ieyZgmH9CKMA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664062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8" t="s">
        <v>119</v>
      </c>
      <c r="C3" s="108"/>
      <c r="D3" s="1"/>
    </row>
    <row r="4" spans="1:4" ht="15" customHeight="1" x14ac:dyDescent="0.3">
      <c r="A4" s="1"/>
      <c r="B4" s="108"/>
      <c r="C4" s="108"/>
      <c r="D4" s="1"/>
    </row>
    <row r="5" spans="1:4" ht="15" customHeight="1" x14ac:dyDescent="0.3">
      <c r="A5" s="1"/>
      <c r="B5" s="1"/>
      <c r="C5" s="1"/>
      <c r="D5" s="1"/>
    </row>
    <row r="6" spans="1:4" x14ac:dyDescent="0.3">
      <c r="A6" s="1"/>
      <c r="B6" s="1"/>
      <c r="C6" s="1"/>
      <c r="D6" s="1"/>
    </row>
    <row r="7" spans="1:4" x14ac:dyDescent="0.3">
      <c r="A7" s="1"/>
      <c r="B7" s="1"/>
      <c r="C7" s="1"/>
      <c r="D7" s="1"/>
    </row>
    <row r="8" spans="1:4" x14ac:dyDescent="0.3">
      <c r="A8" s="1"/>
      <c r="B8" s="33" t="s">
        <v>14</v>
      </c>
      <c r="C8" s="19"/>
      <c r="D8" s="1"/>
    </row>
    <row r="9" spans="1:4" x14ac:dyDescent="0.3">
      <c r="A9" s="1"/>
      <c r="B9" s="59" t="s">
        <v>122</v>
      </c>
      <c r="C9" s="61">
        <v>8.0799999999999997E-2</v>
      </c>
      <c r="D9" s="1"/>
    </row>
    <row r="10" spans="1:4" x14ac:dyDescent="0.3">
      <c r="A10" s="1"/>
      <c r="B10" s="59" t="s">
        <v>230</v>
      </c>
      <c r="C10" s="61">
        <v>6.6299999999999998E-2</v>
      </c>
      <c r="D10" s="1"/>
    </row>
    <row r="11" spans="1:4" x14ac:dyDescent="0.3">
      <c r="A11" s="1"/>
      <c r="B11" s="33"/>
      <c r="C11" s="19"/>
      <c r="D11" s="1"/>
    </row>
    <row r="12" spans="1:4" x14ac:dyDescent="0.3">
      <c r="A12" s="1"/>
      <c r="B12" s="1"/>
      <c r="C12" s="1"/>
      <c r="D12" s="1"/>
    </row>
    <row r="13" spans="1:4" x14ac:dyDescent="0.3">
      <c r="A13" s="1"/>
      <c r="B13" s="1"/>
      <c r="C13" s="1"/>
      <c r="D13" s="1"/>
    </row>
    <row r="14" spans="1:4" x14ac:dyDescent="0.3">
      <c r="A14" s="1"/>
      <c r="B14" s="33" t="s">
        <v>50</v>
      </c>
      <c r="C14" s="19"/>
      <c r="D14" s="1"/>
    </row>
    <row r="15" spans="1:4" x14ac:dyDescent="0.3">
      <c r="A15" s="1"/>
      <c r="B15" s="59" t="s">
        <v>213</v>
      </c>
      <c r="C15" s="60">
        <v>0</v>
      </c>
      <c r="D15" s="1"/>
    </row>
    <row r="16" spans="1:4" x14ac:dyDescent="0.3">
      <c r="A16" s="1"/>
      <c r="B16" s="59" t="s">
        <v>231</v>
      </c>
      <c r="C16" s="22">
        <v>0</v>
      </c>
      <c r="D16" s="1"/>
    </row>
    <row r="17" spans="1:4" x14ac:dyDescent="0.3">
      <c r="A17" s="1"/>
      <c r="B17" s="33"/>
      <c r="C17" s="19"/>
      <c r="D17" s="1"/>
    </row>
    <row r="18" spans="1:4" x14ac:dyDescent="0.3">
      <c r="A18" s="1"/>
      <c r="B18" s="1"/>
      <c r="C18" s="1"/>
      <c r="D18" s="1"/>
    </row>
    <row r="19" spans="1:4" x14ac:dyDescent="0.3">
      <c r="A19" s="1"/>
      <c r="B19" s="1"/>
      <c r="C19" s="1"/>
      <c r="D19" s="1"/>
    </row>
    <row r="20" spans="1:4" x14ac:dyDescent="0.3">
      <c r="A20" s="1"/>
      <c r="B20" s="33" t="s">
        <v>51</v>
      </c>
      <c r="C20" s="19"/>
      <c r="D20" s="1"/>
    </row>
    <row r="21" spans="1:4" x14ac:dyDescent="0.3">
      <c r="A21" s="1"/>
      <c r="B21" s="37" t="s">
        <v>59</v>
      </c>
      <c r="C21" s="25">
        <v>0.02</v>
      </c>
      <c r="D21" s="1"/>
    </row>
    <row r="22" spans="1:4" x14ac:dyDescent="0.3">
      <c r="A22" s="1"/>
      <c r="B22" s="33"/>
      <c r="C22" s="19"/>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hidden="1" x14ac:dyDescent="0.3"/>
  </sheetData>
  <sheetProtection algorithmName="SHA-512" hashValue="qRAEz5HzTayggNmN8IwpVyJtihMpvodMAXNJMhmIP3E+s8KlsqAbvzlR8gwIRH3GNNpzovn27uTVrVV8QVhlSw==" saltValue="hRsrfLp0W7loZ5YujXTz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156</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ht="15" customHeight="1" x14ac:dyDescent="0.3">
      <c r="A9" s="1"/>
      <c r="B9" s="29" t="s">
        <v>80</v>
      </c>
      <c r="C9" s="7">
        <f>'Fane 2.1. Økonomisk ramme 2025'!C20</f>
        <v>96612317.824401379</v>
      </c>
      <c r="D9" s="8" t="s">
        <v>3</v>
      </c>
      <c r="E9" s="1"/>
    </row>
    <row r="10" spans="1:5" ht="15" customHeight="1" x14ac:dyDescent="0.3">
      <c r="A10" s="1"/>
      <c r="B10" s="26" t="s">
        <v>19</v>
      </c>
      <c r="C10" s="7">
        <f>C9*'Fane 15. Nøgletal'!C10</f>
        <v>6405396.6717578107</v>
      </c>
      <c r="D10" s="8" t="s">
        <v>3</v>
      </c>
      <c r="E10" s="1"/>
    </row>
    <row r="11" spans="1:5" ht="15" customHeight="1" x14ac:dyDescent="0.3">
      <c r="A11" s="1"/>
      <c r="B11" s="26" t="s">
        <v>10</v>
      </c>
      <c r="C11" s="9">
        <f>-SUM(C9:C10)*'Fane 5. Individuelt eff. krav'!C9</f>
        <v>-1497497.7097134546</v>
      </c>
      <c r="D11" s="8" t="s">
        <v>3</v>
      </c>
      <c r="E11" s="1"/>
    </row>
    <row r="12" spans="1:5" ht="15" customHeight="1" x14ac:dyDescent="0.3">
      <c r="A12" s="1"/>
      <c r="B12" s="26" t="s">
        <v>22</v>
      </c>
      <c r="C12" s="9">
        <f>-'Fane 4.1. Gen. krav - drift'!C22</f>
        <v>-398021.84154014947</v>
      </c>
      <c r="D12" s="8" t="s">
        <v>3</v>
      </c>
      <c r="E12" s="1"/>
    </row>
    <row r="13" spans="1:5" ht="15" customHeight="1" x14ac:dyDescent="0.3">
      <c r="A13" s="1"/>
      <c r="B13" s="26" t="s">
        <v>23</v>
      </c>
      <c r="C13" s="9">
        <f>-'Fane 4.2. Gen. krav - anlæg'!C22</f>
        <v>0</v>
      </c>
      <c r="D13" s="8" t="s">
        <v>3</v>
      </c>
      <c r="E13" s="1"/>
    </row>
    <row r="14" spans="1:5" ht="15" customHeight="1" x14ac:dyDescent="0.3">
      <c r="A14" s="1"/>
      <c r="B14" s="27" t="s">
        <v>21</v>
      </c>
      <c r="C14" s="10">
        <f>SUM(C9:C13)</f>
        <v>101122194.94490559</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Nøgletal'!C10)+'Fane 6. Ikke-påvirkelige omk.'!C26+'Fane 6. Ikke-påvirkelige omk.'!C34</f>
        <v>25483213.169679955</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driftsomk.'!C18</f>
        <v>2698202.0765055595</v>
      </c>
      <c r="D18" s="11" t="s">
        <v>3</v>
      </c>
      <c r="E18" s="1"/>
    </row>
    <row r="19" spans="1:5" x14ac:dyDescent="0.3">
      <c r="A19" s="1"/>
      <c r="B19" s="33" t="s">
        <v>69</v>
      </c>
      <c r="C19" s="28"/>
      <c r="D19" s="19"/>
      <c r="E19" s="1"/>
    </row>
    <row r="20" spans="1:5" ht="15" customHeight="1" x14ac:dyDescent="0.3">
      <c r="A20" s="1"/>
      <c r="B20" s="31" t="s">
        <v>79</v>
      </c>
      <c r="C20" s="10">
        <f>'Fane 7. Kontrol af ØR2023'!C33</f>
        <v>0</v>
      </c>
      <c r="D20" s="11" t="s">
        <v>3</v>
      </c>
      <c r="E20" s="1"/>
    </row>
    <row r="21" spans="1:5" x14ac:dyDescent="0.3">
      <c r="A21" s="1"/>
      <c r="B21" s="30" t="s">
        <v>75</v>
      </c>
      <c r="C21" s="28"/>
      <c r="D21" s="19"/>
      <c r="E21" s="1"/>
    </row>
    <row r="22" spans="1:5" x14ac:dyDescent="0.3">
      <c r="A22" s="1"/>
      <c r="B22" s="67" t="s">
        <v>76</v>
      </c>
      <c r="C22" s="10">
        <f>'Fane 8. Skattesagen'!C15</f>
        <v>0</v>
      </c>
      <c r="D22" s="11" t="s">
        <v>3</v>
      </c>
      <c r="E22" s="1"/>
    </row>
    <row r="23" spans="1:5" x14ac:dyDescent="0.3">
      <c r="A23" s="1"/>
      <c r="B23" s="33" t="s">
        <v>81</v>
      </c>
      <c r="C23" s="12">
        <f>SUM(C14,C16,C18,C20,C22)</f>
        <v>129303610.19109111</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vrgwzuJpWznk5iqENJd+Z/k6EKYI5bgTJkqlkvzOxl9odEL0Y0pXvFB5CExQjRKgTwcZ8HJbP2q0yijJt54C1w==" saltValue="mW8UzAXEJBVGIlvqd7eW6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157</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129</v>
      </c>
      <c r="C9" s="7">
        <f>'Fane 2.2. Økonomisk ramme 2026'!C14</f>
        <v>101122194.94490559</v>
      </c>
      <c r="D9" s="8" t="s">
        <v>3</v>
      </c>
      <c r="E9" s="1"/>
    </row>
    <row r="10" spans="1:5" ht="15" customHeight="1" x14ac:dyDescent="0.3">
      <c r="A10" s="1"/>
      <c r="B10" s="26" t="s">
        <v>19</v>
      </c>
      <c r="C10" s="7">
        <f>SUM(C9:C9)*'Fane 15. Nøgletal'!C10</f>
        <v>6704401.5248472411</v>
      </c>
      <c r="D10" s="8" t="s">
        <v>3</v>
      </c>
      <c r="E10" s="1"/>
    </row>
    <row r="11" spans="1:5" ht="15" customHeight="1" x14ac:dyDescent="0.3">
      <c r="A11" s="1"/>
      <c r="B11" s="26" t="s">
        <v>10</v>
      </c>
      <c r="C11" s="9">
        <f>-SUM(C9:C10)*'Fane 5. Individuelt eff. krav'!C9</f>
        <v>-1567401.1217330182</v>
      </c>
      <c r="D11" s="8" t="s">
        <v>3</v>
      </c>
      <c r="E11" s="1"/>
    </row>
    <row r="12" spans="1:5" ht="15" customHeight="1" x14ac:dyDescent="0.3">
      <c r="A12" s="1"/>
      <c r="B12" s="26" t="s">
        <v>22</v>
      </c>
      <c r="C12" s="9">
        <f>-'Fane 4.1. Gen. krav - drift'!C27</f>
        <v>-415922.47584157618</v>
      </c>
      <c r="D12" s="8" t="s">
        <v>3</v>
      </c>
      <c r="E12" s="1"/>
    </row>
    <row r="13" spans="1:5" ht="15" customHeight="1" x14ac:dyDescent="0.3">
      <c r="A13" s="1"/>
      <c r="B13" s="26" t="s">
        <v>23</v>
      </c>
      <c r="C13" s="9">
        <f>-'Fane 4.2. Gen. krav - anlæg'!C27</f>
        <v>0</v>
      </c>
      <c r="D13" s="8" t="s">
        <v>3</v>
      </c>
      <c r="E13" s="1"/>
    </row>
    <row r="14" spans="1:5" x14ac:dyDescent="0.3">
      <c r="A14" s="1"/>
      <c r="B14" s="27" t="s">
        <v>21</v>
      </c>
      <c r="C14" s="10">
        <f>SUM(C9:C13)</f>
        <v>105843272.87217823</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Nøgletal'!C10)^2+'Fane 6. Ikke-påvirkelige omk.'!C27+'Fane 6. Ikke-påvirkelige omk.'!C35</f>
        <v>27141723.394029733</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driftsomk.'!C24</f>
        <v>2877092.8741778778</v>
      </c>
      <c r="D18" s="11" t="s">
        <v>3</v>
      </c>
      <c r="E18" s="1"/>
    </row>
    <row r="19" spans="1:5" ht="15" customHeight="1" x14ac:dyDescent="0.3">
      <c r="A19" s="1"/>
      <c r="B19" s="33" t="s">
        <v>69</v>
      </c>
      <c r="C19" s="28"/>
      <c r="D19" s="19"/>
      <c r="E19" s="1"/>
    </row>
    <row r="20" spans="1:5" ht="15" customHeight="1" x14ac:dyDescent="0.3">
      <c r="A20" s="1"/>
      <c r="B20" s="31" t="s">
        <v>79</v>
      </c>
      <c r="C20" s="10">
        <f>'Fane 7. Kontrol af ØR2023'!C33</f>
        <v>0</v>
      </c>
      <c r="D20" s="11" t="s">
        <v>3</v>
      </c>
      <c r="E20" s="1"/>
    </row>
    <row r="21" spans="1:5" x14ac:dyDescent="0.3">
      <c r="A21" s="1"/>
      <c r="B21" s="30" t="s">
        <v>75</v>
      </c>
      <c r="C21" s="28"/>
      <c r="D21" s="19"/>
      <c r="E21" s="1"/>
    </row>
    <row r="22" spans="1:5" x14ac:dyDescent="0.3">
      <c r="A22" s="1"/>
      <c r="B22" s="67" t="s">
        <v>76</v>
      </c>
      <c r="C22" s="10">
        <f>'Fane 8. Skattesagen'!C16</f>
        <v>0</v>
      </c>
      <c r="D22" s="11" t="s">
        <v>3</v>
      </c>
      <c r="E22" s="1"/>
    </row>
    <row r="23" spans="1:5" x14ac:dyDescent="0.3">
      <c r="A23" s="1"/>
      <c r="B23" s="33" t="s">
        <v>130</v>
      </c>
      <c r="C23" s="12">
        <f>SUM(C14,C16,C18,C20,C22)</f>
        <v>135862089.14038584</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0H2dUzaAvhTdTj5DtNWJweUIlSsy/8BEWCC12qtYw6ziQRnxO2o4wqDEJWfgGxRq1ztr58m8eRJXli4H83cL6w==" saltValue="Pn9qWV0FUXebPZW2ecB8v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158</v>
      </c>
      <c r="C3" s="106"/>
      <c r="D3" s="106"/>
      <c r="E3" s="1"/>
    </row>
    <row r="4" spans="1:5" ht="15" customHeight="1" x14ac:dyDescent="0.3">
      <c r="A4" s="1"/>
      <c r="B4" s="106"/>
      <c r="C4" s="106"/>
      <c r="D4" s="106"/>
      <c r="E4" s="1"/>
    </row>
    <row r="5" spans="1:5" x14ac:dyDescent="0.3">
      <c r="A5" s="1"/>
      <c r="B5" s="107" t="s">
        <v>144</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159</v>
      </c>
      <c r="C9" s="7">
        <f>'Fane 2.3. Økonomisk ramme 2027'!C14</f>
        <v>105843272.87217823</v>
      </c>
      <c r="D9" s="8" t="s">
        <v>3</v>
      </c>
      <c r="E9" s="1"/>
    </row>
    <row r="10" spans="1:5" ht="15" customHeight="1" x14ac:dyDescent="0.3">
      <c r="A10" s="1"/>
      <c r="B10" s="26" t="s">
        <v>19</v>
      </c>
      <c r="C10" s="7">
        <f>SUM(C9:C9)*'Fane 15. Nøgletal'!C10</f>
        <v>7017408.9914254164</v>
      </c>
      <c r="D10" s="8" t="s">
        <v>3</v>
      </c>
      <c r="E10" s="1"/>
    </row>
    <row r="11" spans="1:5" ht="15" customHeight="1" x14ac:dyDescent="0.3">
      <c r="A11" s="1"/>
      <c r="B11" s="26" t="s">
        <v>10</v>
      </c>
      <c r="C11" s="9">
        <f>-SUM(C9:C10)*'Fane 5. Individuelt eff. krav'!C9</f>
        <v>-1640578.1610865227</v>
      </c>
      <c r="D11" s="8" t="s">
        <v>3</v>
      </c>
      <c r="E11" s="1"/>
    </row>
    <row r="12" spans="1:5" ht="15" customHeight="1" x14ac:dyDescent="0.3">
      <c r="A12" s="1"/>
      <c r="B12" s="26" t="s">
        <v>22</v>
      </c>
      <c r="C12" s="9">
        <f>-'Fane 4.1. Gen. krav - drift'!C32</f>
        <v>-434628.17327007523</v>
      </c>
      <c r="D12" s="8" t="s">
        <v>3</v>
      </c>
      <c r="E12" s="1"/>
    </row>
    <row r="13" spans="1:5" ht="15" customHeight="1" x14ac:dyDescent="0.3">
      <c r="A13" s="1"/>
      <c r="B13" s="26" t="s">
        <v>23</v>
      </c>
      <c r="C13" s="9">
        <f>-'Fane 4.2. Gen. krav - anlæg'!C32</f>
        <v>0</v>
      </c>
      <c r="D13" s="8" t="s">
        <v>3</v>
      </c>
      <c r="E13" s="1"/>
    </row>
    <row r="14" spans="1:5" ht="14.25" customHeight="1" x14ac:dyDescent="0.3">
      <c r="A14" s="1"/>
      <c r="B14" s="27" t="s">
        <v>21</v>
      </c>
      <c r="C14" s="10">
        <f>SUM(C9:C13)</f>
        <v>110785475.52924703</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Nøgletal'!C10)^3+'Fane 6. Ikke-påvirkelige omk.'!C28+'Fane 6. Ikke-påvirkelige omk.'!C36</f>
        <v>28910192.846253909</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driftsomk.'!C30</f>
        <v>3067844.1317358715</v>
      </c>
      <c r="D18" s="11" t="s">
        <v>3</v>
      </c>
      <c r="E18" s="1"/>
    </row>
    <row r="19" spans="1:5" x14ac:dyDescent="0.3">
      <c r="A19" s="1"/>
      <c r="B19" s="30" t="s">
        <v>75</v>
      </c>
      <c r="C19" s="28"/>
      <c r="D19" s="19"/>
      <c r="E19" s="1"/>
    </row>
    <row r="20" spans="1:5" x14ac:dyDescent="0.3">
      <c r="A20" s="1"/>
      <c r="B20" s="67" t="s">
        <v>76</v>
      </c>
      <c r="C20" s="10">
        <f>'Fane 8. Skattesagen'!C17</f>
        <v>0</v>
      </c>
      <c r="D20" s="11" t="s">
        <v>3</v>
      </c>
      <c r="E20" s="1"/>
    </row>
    <row r="21" spans="1:5" x14ac:dyDescent="0.3">
      <c r="A21" s="1"/>
      <c r="B21" s="33" t="s">
        <v>160</v>
      </c>
      <c r="C21" s="12">
        <f>SUM(C14,C16,C18,C20)</f>
        <v>142763512.50723681</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skn6+ewA8ZdfGYlI+Midv326kDwg4T3f4bQMSeUA5f4oup/5FYZRKZb36lmXNuHLPsNy4jTdiDvVbH9+2r6TCQ==" saltValue="KWyy4sqluSYM9cuVA8phB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4" zeroHeight="1" x14ac:dyDescent="0.3"/>
  <cols>
    <col min="1" max="1" width="6.5546875" style="2" customWidth="1"/>
    <col min="2" max="2" width="52.33203125" style="2" customWidth="1"/>
    <col min="3" max="3" width="15.109375" style="2" customWidth="1"/>
    <col min="4" max="4" width="4.109375" style="2" customWidth="1"/>
    <col min="5" max="5" width="8.44140625" style="2" bestFit="1"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108" t="s">
        <v>161</v>
      </c>
      <c r="C3" s="108"/>
      <c r="D3" s="108"/>
      <c r="E3" s="1"/>
    </row>
    <row r="4" spans="1:5" ht="15" customHeight="1" x14ac:dyDescent="0.3">
      <c r="A4" s="1"/>
      <c r="B4" s="108"/>
      <c r="C4" s="108"/>
      <c r="D4" s="108"/>
      <c r="E4" s="1"/>
    </row>
    <row r="5" spans="1:5" ht="15" customHeight="1"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162</v>
      </c>
      <c r="C8" s="28"/>
      <c r="D8" s="19"/>
      <c r="E8" s="1"/>
    </row>
    <row r="9" spans="1:5" ht="15" customHeight="1" x14ac:dyDescent="0.3">
      <c r="A9" s="1"/>
      <c r="B9" s="29" t="s">
        <v>64</v>
      </c>
      <c r="C9" s="7">
        <v>75015090.150743693</v>
      </c>
      <c r="D9" s="8" t="s">
        <v>3</v>
      </c>
      <c r="E9" s="1"/>
    </row>
    <row r="10" spans="1:5" ht="15" customHeight="1" x14ac:dyDescent="0.3">
      <c r="A10" s="1"/>
      <c r="B10" s="64" t="s">
        <v>35</v>
      </c>
      <c r="C10" s="7">
        <v>22180.177599999999</v>
      </c>
      <c r="D10" s="8" t="s">
        <v>3</v>
      </c>
      <c r="E10" s="1"/>
    </row>
    <row r="11" spans="1:5" ht="15" customHeight="1" x14ac:dyDescent="0.3">
      <c r="A11" s="1"/>
      <c r="B11" s="64" t="s">
        <v>36</v>
      </c>
      <c r="C11" s="9">
        <v>10348334.449457947</v>
      </c>
      <c r="D11" s="8" t="s">
        <v>3</v>
      </c>
      <c r="E11" s="1"/>
    </row>
    <row r="12" spans="1:5" ht="15" customHeight="1" x14ac:dyDescent="0.3">
      <c r="A12" s="1"/>
      <c r="B12" s="64" t="s">
        <v>25</v>
      </c>
      <c r="C12" s="9">
        <v>0</v>
      </c>
      <c r="D12" s="8" t="s">
        <v>3</v>
      </c>
      <c r="E12" s="1"/>
    </row>
    <row r="13" spans="1:5" ht="15" customHeight="1" x14ac:dyDescent="0.3">
      <c r="A13" s="1"/>
      <c r="B13" s="64" t="s">
        <v>24</v>
      </c>
      <c r="C13" s="9">
        <v>0</v>
      </c>
      <c r="D13" s="8" t="s">
        <v>3</v>
      </c>
      <c r="E13" s="1"/>
    </row>
    <row r="14" spans="1:5" ht="15" customHeight="1" x14ac:dyDescent="0.3">
      <c r="A14" s="1"/>
      <c r="B14" s="64" t="s">
        <v>62</v>
      </c>
      <c r="C14" s="9">
        <v>0</v>
      </c>
      <c r="D14" s="8" t="s">
        <v>3</v>
      </c>
      <c r="E14" s="1"/>
    </row>
    <row r="15" spans="1:5" ht="15" customHeight="1" x14ac:dyDescent="0.3">
      <c r="A15" s="1"/>
      <c r="B15" s="64" t="s">
        <v>63</v>
      </c>
      <c r="C15" s="9">
        <v>0</v>
      </c>
      <c r="D15" s="8" t="s">
        <v>3</v>
      </c>
      <c r="E15" s="1"/>
    </row>
    <row r="16" spans="1:5" ht="15" customHeight="1" x14ac:dyDescent="0.3">
      <c r="A16" s="1"/>
      <c r="B16" s="64" t="s">
        <v>19</v>
      </c>
      <c r="C16" s="38">
        <v>6899156.8660463719</v>
      </c>
      <c r="D16" s="8" t="s">
        <v>3</v>
      </c>
      <c r="E16" s="1"/>
    </row>
    <row r="17" spans="1:5" ht="15" customHeight="1" x14ac:dyDescent="0.3">
      <c r="A17" s="1"/>
      <c r="B17" s="64" t="s">
        <v>10</v>
      </c>
      <c r="C17" s="38">
        <v>-1341480.1510498158</v>
      </c>
      <c r="D17" s="8" t="s">
        <v>3</v>
      </c>
      <c r="E17" s="1"/>
    </row>
    <row r="18" spans="1:5" ht="15" customHeight="1" x14ac:dyDescent="0.3">
      <c r="A18" s="1"/>
      <c r="B18" s="64" t="s">
        <v>22</v>
      </c>
      <c r="C18" s="38">
        <v>-357981.22116424481</v>
      </c>
      <c r="D18" s="8" t="s">
        <v>3</v>
      </c>
      <c r="E18" s="1"/>
    </row>
    <row r="19" spans="1:5" ht="15" customHeight="1" x14ac:dyDescent="0.3">
      <c r="A19" s="1"/>
      <c r="B19" s="64" t="s">
        <v>23</v>
      </c>
      <c r="C19" s="38">
        <v>0</v>
      </c>
      <c r="D19" s="8" t="s">
        <v>3</v>
      </c>
      <c r="E19" s="43"/>
    </row>
    <row r="20" spans="1:5" ht="15" customHeight="1" x14ac:dyDescent="0.3">
      <c r="A20" s="1"/>
      <c r="B20" s="83" t="s">
        <v>21</v>
      </c>
      <c r="C20" s="10">
        <v>90585300.271633938</v>
      </c>
      <c r="D20" s="11" t="s">
        <v>3</v>
      </c>
      <c r="E20" s="1"/>
    </row>
    <row r="21" spans="1:5" ht="15" customHeight="1" x14ac:dyDescent="0.3">
      <c r="A21" s="1"/>
      <c r="B21" s="33" t="s">
        <v>12</v>
      </c>
      <c r="C21" s="28"/>
      <c r="D21" s="19"/>
      <c r="E21" s="1"/>
    </row>
    <row r="22" spans="1:5" ht="15" customHeight="1" x14ac:dyDescent="0.3">
      <c r="A22" s="1"/>
      <c r="B22" s="31" t="s">
        <v>12</v>
      </c>
      <c r="C22" s="10">
        <v>24372218.928145662</v>
      </c>
      <c r="D22" s="11" t="s">
        <v>3</v>
      </c>
      <c r="E22" s="1"/>
    </row>
    <row r="23" spans="1:5" ht="15" customHeight="1" x14ac:dyDescent="0.3">
      <c r="A23" s="1"/>
      <c r="B23" s="33" t="s">
        <v>42</v>
      </c>
      <c r="C23" s="28"/>
      <c r="D23" s="19"/>
      <c r="E23" s="1"/>
    </row>
    <row r="24" spans="1:5" ht="15" customHeight="1" x14ac:dyDescent="0.3">
      <c r="A24" s="1"/>
      <c r="B24" s="83" t="s">
        <v>42</v>
      </c>
      <c r="C24" s="10">
        <v>2537908.3355793385</v>
      </c>
      <c r="D24" s="11" t="s">
        <v>3</v>
      </c>
      <c r="E24" s="1"/>
    </row>
    <row r="25" spans="1:5" x14ac:dyDescent="0.3">
      <c r="A25" s="1"/>
      <c r="B25" s="41" t="s">
        <v>41</v>
      </c>
      <c r="C25" s="39"/>
      <c r="D25" s="40"/>
      <c r="E25" s="1"/>
    </row>
    <row r="26" spans="1:5" ht="15" customHeight="1" x14ac:dyDescent="0.3">
      <c r="A26" s="1"/>
      <c r="B26" s="64" t="s">
        <v>89</v>
      </c>
      <c r="C26" s="72">
        <v>0</v>
      </c>
      <c r="D26" s="8" t="s">
        <v>3</v>
      </c>
      <c r="E26" s="1"/>
    </row>
    <row r="27" spans="1:5" ht="15" customHeight="1" x14ac:dyDescent="0.3">
      <c r="A27" s="1"/>
      <c r="B27" s="64" t="s">
        <v>38</v>
      </c>
      <c r="C27" s="72">
        <v>0</v>
      </c>
      <c r="D27" s="8" t="s">
        <v>3</v>
      </c>
      <c r="E27" s="1"/>
    </row>
    <row r="28" spans="1:5" ht="15" customHeight="1" x14ac:dyDescent="0.3">
      <c r="A28" s="1"/>
      <c r="B28" s="64" t="s">
        <v>92</v>
      </c>
      <c r="C28" s="72">
        <v>0</v>
      </c>
      <c r="D28" s="8" t="s">
        <v>3</v>
      </c>
      <c r="E28" s="1"/>
    </row>
    <row r="29" spans="1:5" ht="15" customHeight="1" x14ac:dyDescent="0.3">
      <c r="A29" s="1"/>
      <c r="B29" s="64" t="s">
        <v>93</v>
      </c>
      <c r="C29" s="72">
        <v>0</v>
      </c>
      <c r="D29" s="8" t="s">
        <v>3</v>
      </c>
      <c r="E29" s="1"/>
    </row>
    <row r="30" spans="1:5" ht="15" customHeight="1" x14ac:dyDescent="0.3">
      <c r="A30" s="1"/>
      <c r="B30" s="67" t="s">
        <v>43</v>
      </c>
      <c r="C30" s="10">
        <v>0</v>
      </c>
      <c r="D30" s="11" t="s">
        <v>3</v>
      </c>
      <c r="E30" s="1"/>
    </row>
    <row r="31" spans="1:5" ht="15" customHeight="1" x14ac:dyDescent="0.3">
      <c r="A31" s="1"/>
      <c r="B31" s="33" t="s">
        <v>69</v>
      </c>
      <c r="C31" s="28"/>
      <c r="D31" s="19"/>
      <c r="E31" s="1"/>
    </row>
    <row r="32" spans="1:5" ht="15" customHeight="1" x14ac:dyDescent="0.3">
      <c r="A32" s="1"/>
      <c r="B32" s="31" t="s">
        <v>79</v>
      </c>
      <c r="C32" s="10">
        <v>0</v>
      </c>
      <c r="D32" s="11" t="s">
        <v>3</v>
      </c>
      <c r="E32" s="1"/>
    </row>
    <row r="33" spans="1:5" x14ac:dyDescent="0.3">
      <c r="A33" s="1"/>
      <c r="B33" s="33" t="s">
        <v>128</v>
      </c>
      <c r="C33" s="28"/>
      <c r="D33" s="19"/>
      <c r="E33" s="1"/>
    </row>
    <row r="34" spans="1:5" ht="15.45" customHeight="1" x14ac:dyDescent="0.3">
      <c r="A34" s="1"/>
      <c r="B34" s="31" t="s">
        <v>128</v>
      </c>
      <c r="C34" s="10">
        <v>-1160405.5611952795</v>
      </c>
      <c r="D34" s="11" t="s">
        <v>3</v>
      </c>
      <c r="E34" s="1"/>
    </row>
    <row r="35" spans="1:5" ht="15.45" customHeight="1" x14ac:dyDescent="0.3">
      <c r="A35" s="1"/>
      <c r="B35" s="30" t="s">
        <v>75</v>
      </c>
      <c r="C35" s="28"/>
      <c r="D35" s="19"/>
      <c r="E35" s="1"/>
    </row>
    <row r="36" spans="1:5" x14ac:dyDescent="0.3">
      <c r="A36" s="1"/>
      <c r="B36" s="67" t="s">
        <v>76</v>
      </c>
      <c r="C36" s="10">
        <v>0</v>
      </c>
      <c r="D36" s="11" t="s">
        <v>3</v>
      </c>
      <c r="E36" s="1"/>
    </row>
    <row r="37" spans="1:5" x14ac:dyDescent="0.3">
      <c r="A37" s="1"/>
      <c r="B37" s="33" t="s">
        <v>65</v>
      </c>
      <c r="C37" s="45">
        <v>116335021.97416365</v>
      </c>
      <c r="D37" s="30" t="s">
        <v>3</v>
      </c>
      <c r="E37" s="1"/>
    </row>
    <row r="38" spans="1:5" ht="30" customHeight="1" x14ac:dyDescent="0.3">
      <c r="A38" s="1"/>
      <c r="B38" s="109" t="s">
        <v>229</v>
      </c>
      <c r="C38" s="109"/>
      <c r="D38" s="109"/>
      <c r="E38" s="1"/>
    </row>
    <row r="39" spans="1:5" x14ac:dyDescent="0.3">
      <c r="A39" s="1"/>
      <c r="B39" s="1"/>
      <c r="C39" s="1"/>
      <c r="D39" s="1"/>
      <c r="E39" s="1"/>
    </row>
    <row r="40" spans="1:5" ht="27" customHeight="1"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ht="14.25" customHeight="1"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s="56" customFormat="1" hidden="1" x14ac:dyDescent="0.3"/>
    <row r="50" spans="1:5" s="56" customFormat="1" hidden="1" x14ac:dyDescent="0.3"/>
    <row r="51" spans="1:5" s="56" customFormat="1" hidden="1" x14ac:dyDescent="0.3"/>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sheetData>
  <sheetProtection algorithmName="SHA-512" hashValue="eSI7/diE2HNRgkts7O4R7GypZcjsrOG1Tqi5yk/KIVUhyjiRKcYV0M8nSxdlKjDHVT9TOxOAJOBWLGLO/JHsxg==" saltValue="PTv/T6OxIvyv5eyonzSg+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44140625" style="2" customWidth="1"/>
    <col min="5" max="5" width="5.33203125" style="2" customWidth="1"/>
    <col min="6" max="16384" width="9.109375" style="2" hidden="1"/>
  </cols>
  <sheetData>
    <row r="1" spans="1:5" ht="15" customHeight="1" x14ac:dyDescent="0.3">
      <c r="A1" s="1"/>
      <c r="B1" s="35"/>
      <c r="C1" s="35"/>
      <c r="D1" s="35"/>
      <c r="E1" s="1"/>
    </row>
    <row r="2" spans="1:5" ht="15" customHeight="1" x14ac:dyDescent="0.3">
      <c r="A2" s="1"/>
      <c r="B2" s="35"/>
      <c r="C2" s="35"/>
      <c r="D2" s="35"/>
      <c r="E2" s="1"/>
    </row>
    <row r="3" spans="1:5" ht="15" customHeight="1" x14ac:dyDescent="0.3">
      <c r="A3" s="1"/>
      <c r="B3" s="108" t="s">
        <v>56</v>
      </c>
      <c r="C3" s="108"/>
      <c r="D3" s="108"/>
      <c r="E3" s="1"/>
    </row>
    <row r="4" spans="1:5" ht="15" customHeight="1" x14ac:dyDescent="0.3">
      <c r="A4" s="1"/>
      <c r="B4" s="108"/>
      <c r="C4" s="108"/>
      <c r="D4" s="108"/>
      <c r="E4" s="1"/>
    </row>
    <row r="5" spans="1:5" ht="15" customHeight="1" x14ac:dyDescent="0.3">
      <c r="A5" s="1"/>
      <c r="B5" s="108"/>
      <c r="C5" s="108"/>
      <c r="D5" s="108"/>
      <c r="E5" s="1"/>
    </row>
    <row r="6" spans="1:5" ht="15" customHeight="1" x14ac:dyDescent="0.3">
      <c r="A6" s="1"/>
      <c r="B6" s="76"/>
      <c r="C6" s="76"/>
      <c r="D6" s="76"/>
      <c r="E6" s="1"/>
    </row>
    <row r="7" spans="1:5" x14ac:dyDescent="0.3">
      <c r="A7" s="1"/>
      <c r="B7" s="1"/>
      <c r="C7" s="1"/>
      <c r="D7" s="1"/>
      <c r="E7" s="1"/>
    </row>
    <row r="8" spans="1:5" x14ac:dyDescent="0.3">
      <c r="A8" s="1"/>
      <c r="B8" s="110" t="s">
        <v>123</v>
      </c>
      <c r="C8" s="111"/>
      <c r="D8" s="112"/>
      <c r="E8" s="1"/>
    </row>
    <row r="9" spans="1:5" x14ac:dyDescent="0.3">
      <c r="A9" s="1"/>
      <c r="B9" s="65" t="s">
        <v>88</v>
      </c>
      <c r="C9" s="23">
        <v>17875088.722262163</v>
      </c>
      <c r="D9" s="14" t="s">
        <v>3</v>
      </c>
      <c r="E9" s="1"/>
    </row>
    <row r="10" spans="1:5" x14ac:dyDescent="0.3">
      <c r="A10" s="1"/>
      <c r="B10" s="65" t="s">
        <v>125</v>
      </c>
      <c r="C10" s="23">
        <f>('Fane 3. Omkostninger i ØR2024'!C10+'Fane 3. Omkostninger i ØR2024'!C12+'Fane 3. Omkostninger i ØR2024'!C14)*(1+'Fane 15. Nøgletal'!C9)</f>
        <v>23972.33595008</v>
      </c>
      <c r="D10" s="14" t="s">
        <v>3</v>
      </c>
      <c r="E10" s="1"/>
    </row>
    <row r="11" spans="1:5" x14ac:dyDescent="0.3">
      <c r="A11" s="1"/>
      <c r="B11" s="65" t="s">
        <v>131</v>
      </c>
      <c r="C11" s="23">
        <f>C9*'Fane 15. Nøgletal'!C21+C10*'Fane 15. Nøgletal'!C21</f>
        <v>357981.22116424481</v>
      </c>
      <c r="D11" s="14" t="s">
        <v>3</v>
      </c>
      <c r="E11" s="1"/>
    </row>
    <row r="12" spans="1:5" x14ac:dyDescent="0.3">
      <c r="A12" s="1"/>
      <c r="B12" s="33"/>
      <c r="C12" s="28"/>
      <c r="D12" s="19"/>
      <c r="E12" s="1"/>
    </row>
    <row r="13" spans="1:5" x14ac:dyDescent="0.3">
      <c r="A13" s="1"/>
      <c r="B13" s="1"/>
      <c r="C13" s="1"/>
      <c r="D13" s="1"/>
      <c r="E13" s="1"/>
    </row>
    <row r="14" spans="1:5" x14ac:dyDescent="0.3">
      <c r="A14" s="1"/>
      <c r="B14" s="110" t="s">
        <v>124</v>
      </c>
      <c r="C14" s="111"/>
      <c r="D14" s="112"/>
      <c r="E14" s="1"/>
    </row>
    <row r="15" spans="1:5" x14ac:dyDescent="0.3">
      <c r="A15" s="1"/>
      <c r="B15" s="65" t="s">
        <v>133</v>
      </c>
      <c r="C15" s="23">
        <f>(C9+C10-C11)*(1+'Fane 15. Nøgletal'!C9)</f>
        <v>18958399.087881476</v>
      </c>
      <c r="D15" s="14" t="s">
        <v>3</v>
      </c>
      <c r="E15" s="1"/>
    </row>
    <row r="16" spans="1:5" x14ac:dyDescent="0.3">
      <c r="A16" s="1"/>
      <c r="B16" s="65" t="s">
        <v>184</v>
      </c>
      <c r="C16" s="23">
        <f>('Fane 2.1. Økonomisk ramme 2025'!C10+'Fane 2.1. Økonomisk ramme 2025'!C12+'Fane 2.1. Økonomisk ramme 2025'!C14)*(1+'Fane 15. Nøgletal'!C10)</f>
        <v>86181.999310619998</v>
      </c>
      <c r="D16" s="14" t="s">
        <v>3</v>
      </c>
      <c r="E16" s="1"/>
    </row>
    <row r="17" spans="1:5" x14ac:dyDescent="0.3">
      <c r="A17" s="1"/>
      <c r="B17" s="65" t="s">
        <v>132</v>
      </c>
      <c r="C17" s="23">
        <f>C15*'Fane 15. Nøgletal'!C21+C16*'Fane 15. Nøgletal'!C21</f>
        <v>380891.62174384197</v>
      </c>
      <c r="D17" s="14" t="s">
        <v>3</v>
      </c>
      <c r="E17" s="1"/>
    </row>
    <row r="18" spans="1:5" x14ac:dyDescent="0.3">
      <c r="A18" s="1"/>
      <c r="B18" s="33"/>
      <c r="C18" s="28"/>
      <c r="D18" s="19"/>
      <c r="E18" s="1"/>
    </row>
    <row r="19" spans="1:5" x14ac:dyDescent="0.3">
      <c r="A19" s="1"/>
      <c r="B19" s="1"/>
      <c r="C19" s="63"/>
      <c r="D19" s="1"/>
      <c r="E19" s="1"/>
    </row>
    <row r="20" spans="1:5" x14ac:dyDescent="0.3">
      <c r="A20" s="1"/>
      <c r="B20" s="110" t="s">
        <v>145</v>
      </c>
      <c r="C20" s="111"/>
      <c r="D20" s="112"/>
      <c r="E20" s="1"/>
    </row>
    <row r="21" spans="1:5" x14ac:dyDescent="0.3">
      <c r="A21" s="1"/>
      <c r="B21" s="65" t="s">
        <v>189</v>
      </c>
      <c r="C21" s="23">
        <f>(C15+C16-C17)*(1+'Fane 15. Nøgletal'!C10)</f>
        <v>19901092.077007473</v>
      </c>
      <c r="D21" s="14" t="s">
        <v>3</v>
      </c>
      <c r="E21" s="1"/>
    </row>
    <row r="22" spans="1:5" x14ac:dyDescent="0.3">
      <c r="A22" s="1"/>
      <c r="B22" s="65" t="s">
        <v>196</v>
      </c>
      <c r="C22" s="23">
        <f>C21*'Fane 15. Nøgletal'!C21</f>
        <v>398021.84154014947</v>
      </c>
      <c r="D22" s="14" t="s">
        <v>3</v>
      </c>
      <c r="E22" s="1"/>
    </row>
    <row r="23" spans="1:5" x14ac:dyDescent="0.3">
      <c r="A23" s="1"/>
      <c r="B23" s="33"/>
      <c r="C23" s="28"/>
      <c r="D23" s="19"/>
      <c r="E23" s="1"/>
    </row>
    <row r="24" spans="1:5" x14ac:dyDescent="0.3">
      <c r="A24" s="1"/>
      <c r="B24" s="1"/>
      <c r="C24" s="1"/>
      <c r="D24" s="1"/>
      <c r="E24" s="1"/>
    </row>
    <row r="25" spans="1:5" x14ac:dyDescent="0.3">
      <c r="A25" s="1"/>
      <c r="B25" s="110" t="s">
        <v>187</v>
      </c>
      <c r="C25" s="111"/>
      <c r="D25" s="112"/>
      <c r="E25" s="1"/>
    </row>
    <row r="26" spans="1:5" x14ac:dyDescent="0.3">
      <c r="A26" s="1"/>
      <c r="B26" s="65" t="s">
        <v>190</v>
      </c>
      <c r="C26" s="23">
        <f>(C21-C22)*(1+'Fane 15. Nøgletal'!C10)</f>
        <v>20796123.792078808</v>
      </c>
      <c r="D26" s="14" t="s">
        <v>3</v>
      </c>
      <c r="E26" s="1"/>
    </row>
    <row r="27" spans="1:5" x14ac:dyDescent="0.3">
      <c r="A27" s="1"/>
      <c r="B27" s="65" t="s">
        <v>194</v>
      </c>
      <c r="C27" s="23">
        <f>C26*'Fane 15. Nøgletal'!C21</f>
        <v>415922.47584157618</v>
      </c>
      <c r="D27" s="14" t="s">
        <v>3</v>
      </c>
      <c r="E27" s="1"/>
    </row>
    <row r="28" spans="1:5" x14ac:dyDescent="0.3">
      <c r="A28" s="1"/>
      <c r="B28" s="33"/>
      <c r="C28" s="28"/>
      <c r="D28" s="19"/>
      <c r="E28" s="1"/>
    </row>
    <row r="29" spans="1:5" x14ac:dyDescent="0.3">
      <c r="A29" s="1"/>
      <c r="B29" s="1"/>
      <c r="C29" s="1"/>
      <c r="D29" s="1"/>
      <c r="E29" s="1"/>
    </row>
    <row r="30" spans="1:5" x14ac:dyDescent="0.3">
      <c r="A30" s="1"/>
      <c r="B30" s="110" t="s">
        <v>188</v>
      </c>
      <c r="C30" s="111"/>
      <c r="D30" s="112"/>
      <c r="E30" s="1"/>
    </row>
    <row r="31" spans="1:5" x14ac:dyDescent="0.3">
      <c r="A31" s="1"/>
      <c r="B31" s="65" t="s">
        <v>191</v>
      </c>
      <c r="C31" s="23">
        <f>(C26-C27)*(1+'Fane 15. Nøgletal'!C10)</f>
        <v>21731408.663503762</v>
      </c>
      <c r="D31" s="14" t="s">
        <v>3</v>
      </c>
      <c r="E31" s="1"/>
    </row>
    <row r="32" spans="1:5" x14ac:dyDescent="0.3">
      <c r="A32" s="1"/>
      <c r="B32" s="65" t="s">
        <v>195</v>
      </c>
      <c r="C32" s="23">
        <f>C31*'Fane 15. Nøgletal'!C21</f>
        <v>434628.17327007523</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jrwQx+rRvZ3tGUGB2qy8/4cdZ/LF8rqyF/2BrpqzG8EfrP0vaUDv81S6b8yHjdGIy7WwsJFfmFjKDtbx+GPlUw==" saltValue="lgZSMwcQJhs0sTCK7haNn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4" zeroHeight="1" x14ac:dyDescent="0.3"/>
  <cols>
    <col min="1" max="1" width="5.33203125" style="2" customWidth="1"/>
    <col min="2" max="2" width="58.109375" style="2" customWidth="1"/>
    <col min="3" max="3" width="11.6640625" style="2" customWidth="1"/>
    <col min="4" max="4" width="3.109375" style="2" customWidth="1"/>
    <col min="5" max="5" width="5.33203125" style="2" customWidth="1"/>
    <col min="6" max="16384" width="9.109375" style="2" hidden="1"/>
  </cols>
  <sheetData>
    <row r="1" spans="1:5" ht="14.25" customHeight="1" x14ac:dyDescent="0.4">
      <c r="A1" s="1"/>
      <c r="B1" s="69"/>
      <c r="C1" s="69"/>
      <c r="D1" s="69"/>
      <c r="E1" s="1"/>
    </row>
    <row r="2" spans="1:5" ht="15" customHeight="1" x14ac:dyDescent="0.4">
      <c r="A2" s="1"/>
      <c r="B2" s="69"/>
      <c r="C2" s="69"/>
      <c r="D2" s="69"/>
      <c r="E2" s="1"/>
    </row>
    <row r="3" spans="1:5" ht="15" customHeight="1" x14ac:dyDescent="0.3">
      <c r="A3" s="1"/>
      <c r="B3" s="113" t="s">
        <v>57</v>
      </c>
      <c r="C3" s="113"/>
      <c r="D3" s="113"/>
      <c r="E3" s="1"/>
    </row>
    <row r="4" spans="1:5" ht="15" customHeight="1" x14ac:dyDescent="0.3">
      <c r="A4" s="1"/>
      <c r="B4" s="113"/>
      <c r="C4" s="113"/>
      <c r="D4" s="113"/>
      <c r="E4" s="1"/>
    </row>
    <row r="5" spans="1:5" ht="15" customHeight="1" x14ac:dyDescent="0.3">
      <c r="A5" s="1"/>
      <c r="B5" s="113"/>
      <c r="C5" s="113"/>
      <c r="D5" s="113"/>
      <c r="E5" s="1"/>
    </row>
    <row r="6" spans="1:5" ht="15" customHeight="1" x14ac:dyDescent="0.4">
      <c r="A6" s="1"/>
      <c r="B6" s="69"/>
      <c r="C6" s="69"/>
      <c r="D6" s="69"/>
      <c r="E6" s="1"/>
    </row>
    <row r="7" spans="1:5" x14ac:dyDescent="0.3">
      <c r="A7" s="1"/>
      <c r="B7" s="1"/>
      <c r="C7" s="1"/>
      <c r="D7" s="1"/>
      <c r="E7" s="1"/>
    </row>
    <row r="8" spans="1:5" x14ac:dyDescent="0.3">
      <c r="A8" s="1"/>
      <c r="B8" s="110" t="s">
        <v>147</v>
      </c>
      <c r="C8" s="111"/>
      <c r="D8" s="112"/>
      <c r="E8" s="1"/>
    </row>
    <row r="9" spans="1:5" x14ac:dyDescent="0.3">
      <c r="A9" s="1"/>
      <c r="B9" s="65" t="s">
        <v>134</v>
      </c>
      <c r="C9" s="23">
        <v>68000354.557453513</v>
      </c>
      <c r="D9" s="14" t="s">
        <v>3</v>
      </c>
      <c r="E9" s="1"/>
    </row>
    <row r="10" spans="1:5" x14ac:dyDescent="0.3">
      <c r="A10" s="1"/>
      <c r="B10" s="65" t="s">
        <v>126</v>
      </c>
      <c r="C10" s="23">
        <f>('Fane 3. Omkostninger i ØR2024'!C11+'Fane 3. Omkostninger i ØR2024'!C13+'Fane 3. Omkostninger i ØR2024'!C15)*(1+'Fane 15. Nøgletal'!C9)</f>
        <v>11184479.87297415</v>
      </c>
      <c r="D10" s="14" t="s">
        <v>3</v>
      </c>
      <c r="E10" s="1"/>
    </row>
    <row r="11" spans="1:5" x14ac:dyDescent="0.3">
      <c r="A11" s="1"/>
      <c r="B11" s="65" t="s">
        <v>135</v>
      </c>
      <c r="C11" s="84">
        <f>SUM(C9:C10)*'Fane 15. Nøgletal'!C15</f>
        <v>0</v>
      </c>
      <c r="D11" s="14" t="s">
        <v>3</v>
      </c>
      <c r="E11" s="1"/>
    </row>
    <row r="12" spans="1:5" x14ac:dyDescent="0.3">
      <c r="A12" s="1"/>
      <c r="B12" s="33"/>
      <c r="C12" s="28"/>
      <c r="D12" s="19"/>
      <c r="E12" s="1"/>
    </row>
    <row r="13" spans="1:5" x14ac:dyDescent="0.3">
      <c r="A13" s="1"/>
      <c r="B13" s="1"/>
      <c r="C13" s="1"/>
      <c r="D13" s="1"/>
      <c r="E13" s="1"/>
    </row>
    <row r="14" spans="1:5" x14ac:dyDescent="0.3">
      <c r="A14" s="1"/>
      <c r="B14" s="110" t="s">
        <v>146</v>
      </c>
      <c r="C14" s="111"/>
      <c r="D14" s="112"/>
      <c r="E14" s="1"/>
    </row>
    <row r="15" spans="1:5" x14ac:dyDescent="0.3">
      <c r="A15" s="1"/>
      <c r="B15" s="65" t="s">
        <v>136</v>
      </c>
      <c r="C15" s="23">
        <f>(C9+C10-C11)*(1+'Fane 15. Nøgletal'!C9)</f>
        <v>85582969.052406222</v>
      </c>
      <c r="D15" s="14" t="s">
        <v>3</v>
      </c>
      <c r="E15" s="1"/>
    </row>
    <row r="16" spans="1:5" x14ac:dyDescent="0.3">
      <c r="A16" s="1"/>
      <c r="B16" s="65" t="s">
        <v>185</v>
      </c>
      <c r="C16" s="23">
        <f>('Fane 2.1. Økonomisk ramme 2025'!C11+'Fane 2.1. Økonomisk ramme 2025'!C13+'Fane 2.1. Økonomisk ramme 2025'!C15)*(1+'Fane 15. Nøgletal'!C10)</f>
        <v>433155.94203941338</v>
      </c>
      <c r="D16" s="14" t="s">
        <v>3</v>
      </c>
      <c r="E16" s="1"/>
    </row>
    <row r="17" spans="1:5" x14ac:dyDescent="0.3">
      <c r="A17" s="1"/>
      <c r="B17" s="65" t="s">
        <v>137</v>
      </c>
      <c r="C17" s="84">
        <f>(C15)*'Fane 15. Nøgletal'!C15+C16*'Fane 15. Nøgletal'!C16</f>
        <v>0</v>
      </c>
      <c r="D17" s="14" t="s">
        <v>3</v>
      </c>
      <c r="E17" s="1"/>
    </row>
    <row r="18" spans="1:5" x14ac:dyDescent="0.3">
      <c r="A18" s="1"/>
      <c r="B18" s="33"/>
      <c r="C18" s="28"/>
      <c r="D18" s="19"/>
      <c r="E18" s="1"/>
    </row>
    <row r="19" spans="1:5" x14ac:dyDescent="0.3">
      <c r="A19" s="1"/>
      <c r="B19" s="1"/>
      <c r="C19" s="1"/>
      <c r="D19" s="1"/>
      <c r="E19" s="1"/>
    </row>
    <row r="20" spans="1:5" x14ac:dyDescent="0.3">
      <c r="A20" s="1"/>
      <c r="B20" s="110" t="s">
        <v>82</v>
      </c>
      <c r="C20" s="111"/>
      <c r="D20" s="112"/>
      <c r="E20" s="1"/>
    </row>
    <row r="21" spans="1:5" x14ac:dyDescent="0.3">
      <c r="A21" s="1"/>
      <c r="B21" s="65" t="s">
        <v>192</v>
      </c>
      <c r="C21" s="23">
        <f>(C15+C16-C17)*(1+'Fane 15. Nøgletal'!C10)</f>
        <v>91718994.08157739</v>
      </c>
      <c r="D21" s="14" t="s">
        <v>3</v>
      </c>
      <c r="E21" s="1"/>
    </row>
    <row r="22" spans="1:5" x14ac:dyDescent="0.3">
      <c r="A22" s="1"/>
      <c r="B22" s="65" t="s">
        <v>197</v>
      </c>
      <c r="C22" s="84">
        <f>C21*'Fane 15. Nøgletal'!C16</f>
        <v>0</v>
      </c>
      <c r="D22" s="14" t="s">
        <v>3</v>
      </c>
      <c r="E22" s="1"/>
    </row>
    <row r="23" spans="1:5" x14ac:dyDescent="0.3">
      <c r="A23" s="1"/>
      <c r="B23" s="33"/>
      <c r="C23" s="28"/>
      <c r="D23" s="19"/>
      <c r="E23" s="1"/>
    </row>
    <row r="24" spans="1:5" x14ac:dyDescent="0.3">
      <c r="A24" s="1"/>
      <c r="B24" s="1"/>
      <c r="C24" s="1"/>
      <c r="D24" s="1"/>
      <c r="E24" s="1"/>
    </row>
    <row r="25" spans="1:5" x14ac:dyDescent="0.3">
      <c r="A25" s="1"/>
      <c r="B25" s="110" t="s">
        <v>138</v>
      </c>
      <c r="C25" s="111"/>
      <c r="D25" s="112"/>
      <c r="E25" s="1"/>
    </row>
    <row r="26" spans="1:5" x14ac:dyDescent="0.3">
      <c r="A26" s="1"/>
      <c r="B26" s="65" t="s">
        <v>193</v>
      </c>
      <c r="C26" s="23">
        <f>(C21-C22)*(1+'Fane 15. Nøgletal'!C10)</f>
        <v>97799963.38918598</v>
      </c>
      <c r="D26" s="14" t="s">
        <v>3</v>
      </c>
      <c r="E26" s="1"/>
    </row>
    <row r="27" spans="1:5" x14ac:dyDescent="0.3">
      <c r="A27" s="1"/>
      <c r="B27" s="65" t="s">
        <v>198</v>
      </c>
      <c r="C27" s="84">
        <f>C26*'Fane 15. Nøgletal'!C16</f>
        <v>0</v>
      </c>
      <c r="D27" s="14" t="s">
        <v>3</v>
      </c>
      <c r="E27" s="1"/>
    </row>
    <row r="28" spans="1:5" x14ac:dyDescent="0.3">
      <c r="A28" s="1"/>
      <c r="B28" s="33"/>
      <c r="C28" s="28"/>
      <c r="D28" s="19"/>
      <c r="E28" s="1"/>
    </row>
    <row r="29" spans="1:5" x14ac:dyDescent="0.3">
      <c r="A29" s="1"/>
      <c r="B29" s="1"/>
      <c r="C29" s="1"/>
      <c r="D29" s="1"/>
      <c r="E29" s="1"/>
    </row>
    <row r="30" spans="1:5" x14ac:dyDescent="0.3">
      <c r="A30" s="1"/>
      <c r="B30" s="110" t="s">
        <v>163</v>
      </c>
      <c r="C30" s="111"/>
      <c r="D30" s="112"/>
      <c r="E30" s="1"/>
    </row>
    <row r="31" spans="1:5" x14ac:dyDescent="0.3">
      <c r="A31" s="1"/>
      <c r="B31" s="65" t="s">
        <v>200</v>
      </c>
      <c r="C31" s="23">
        <f>(C26-C27)*(1+'Fane 15. Nøgletal'!C10)</f>
        <v>104284100.96188901</v>
      </c>
      <c r="D31" s="14" t="s">
        <v>3</v>
      </c>
      <c r="E31" s="1"/>
    </row>
    <row r="32" spans="1:5" x14ac:dyDescent="0.3">
      <c r="A32" s="1"/>
      <c r="B32" s="65" t="s">
        <v>199</v>
      </c>
      <c r="C32" s="84">
        <f>C31*'Fane 15. Nøgletal'!C16</f>
        <v>0</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DxVvV21TG4NyA/6Fyg62/xQJrMqzR3aZtINLmtJf4V3pG6bk95tSBKD88a8OB9hE+M0E1G6BeV2vJZLDw7Ad8w==" saltValue="kpCmmZtb/QJhlAQWI8Gdw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6" t="s">
        <v>44</v>
      </c>
      <c r="C3" s="106"/>
      <c r="D3" s="1"/>
    </row>
    <row r="4" spans="1:4" ht="15" customHeight="1" x14ac:dyDescent="0.3">
      <c r="A4" s="1"/>
      <c r="B4" s="106"/>
      <c r="C4" s="106"/>
      <c r="D4" s="1"/>
    </row>
    <row r="5" spans="1:4" x14ac:dyDescent="0.3">
      <c r="A5" s="1"/>
      <c r="B5" s="1"/>
      <c r="C5" s="1"/>
      <c r="D5" s="1"/>
    </row>
    <row r="6" spans="1:4" x14ac:dyDescent="0.3">
      <c r="A6" s="1"/>
      <c r="B6" s="1"/>
      <c r="C6" s="1"/>
      <c r="D6" s="1"/>
    </row>
    <row r="7" spans="1:4" x14ac:dyDescent="0.3">
      <c r="A7" s="1"/>
      <c r="B7" s="1"/>
      <c r="C7" s="1"/>
      <c r="D7" s="1"/>
    </row>
    <row r="8" spans="1:4" x14ac:dyDescent="0.3">
      <c r="A8" s="1"/>
      <c r="B8" s="110" t="s">
        <v>10</v>
      </c>
      <c r="C8" s="112"/>
      <c r="D8" s="1"/>
    </row>
    <row r="9" spans="1:4" x14ac:dyDescent="0.3">
      <c r="A9" s="1"/>
      <c r="B9" s="65" t="s">
        <v>164</v>
      </c>
      <c r="C9" s="22">
        <v>1.4536312682119207E-2</v>
      </c>
      <c r="D9" s="1"/>
    </row>
    <row r="10" spans="1:4" x14ac:dyDescent="0.3">
      <c r="A10" s="1"/>
      <c r="B10" s="33"/>
      <c r="C10" s="19"/>
      <c r="D10" s="1"/>
    </row>
    <row r="11" spans="1:4" x14ac:dyDescent="0.3">
      <c r="A11" s="1"/>
      <c r="B11" s="114" t="s">
        <v>218</v>
      </c>
      <c r="C11" s="115"/>
      <c r="D11" s="1"/>
    </row>
    <row r="12" spans="1:4" x14ac:dyDescent="0.3">
      <c r="A12" s="1"/>
      <c r="B12" s="116"/>
      <c r="C12" s="117"/>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sheetProtection algorithmName="SHA-512" hashValue="D4GDFgIn6mOfqp+9dgRcr8dzFiB6Ebq9C0oTTGz4lLgiSNhMHQboYe37O17Ce1Tpzcpzy5bwXrkx/Rjwo/TvFQ==" saltValue="n0/7q54igHj6ZZcj/8Lbd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2024-09-09T08:58:38Z</dcterms:modified>
</cp:coreProperties>
</file>