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Denne_projektmappe" defaultThemeVersion="124226"/>
  <mc:AlternateContent xmlns:mc="http://schemas.openxmlformats.org/markup-compatibility/2006">
    <mc:Choice Requires="x15">
      <x15ac:absPath xmlns:x15ac="http://schemas.microsoft.com/office/spreadsheetml/2010/11/ac" url="E:\VAND\Sagsbehandling\Drikkevand\Ringsted Vand AS (V154)\ØR2024\"/>
    </mc:Choice>
  </mc:AlternateContent>
  <xr:revisionPtr revIDLastSave="0" documentId="13_ncr:1_{6B5213C8-8150-4423-966F-EB9425CE0FFA}" xr6:coauthVersionLast="36" xr6:coauthVersionMax="36" xr10:uidLastSave="{00000000-0000-0000-0000-000000000000}"/>
  <bookViews>
    <workbookView xWindow="3105" yWindow="990" windowWidth="12735" windowHeight="4620" tabRatio="872" activeTab="1"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6" i="19" l="1"/>
  <c r="E12" i="37"/>
  <c r="C12" i="37"/>
  <c r="C29" i="2" l="1"/>
  <c r="E23" i="42" l="1"/>
  <c r="E31" i="42" s="1"/>
  <c r="E33" i="42" s="1"/>
  <c r="C8" i="2"/>
  <c r="C17" i="22" l="1"/>
  <c r="C17" i="15"/>
  <c r="E27" i="42"/>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<sst xmlns="http://schemas.openxmlformats.org/spreadsheetml/2006/main" count="556" uniqueCount="267">
  <si>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</si>
  <si>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</si>
  <si>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</si>
  <si>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</si>
  <si>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</si>
  <si>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</si>
  <si>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</si>
  <si>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</si>
  <si>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</si>
  <si>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</si>
  <si>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</si>
  <si>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</si>
  <si>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</si>
  <si>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</si>
  <si>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</si>
  <si>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</si>
  <si>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</si>
  <si>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</si>
  <si>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</si>
  <si>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</si>
  <si>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</si>
  <si>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</si>
  <si>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</si>
  <si>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</si>
  <si>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</si>
  <si>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</si>
  <si>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</si>
  <si>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</si>
  <si>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</si>
  <si>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</si>
  <si>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</si>
  <si>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</si>
  <si>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</si>
  <si>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</si>
  <si>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</si>
  <si>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</si>
  <si>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</si>
  <si>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</si>
  <si>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</si>
  <si>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</si>
  <si>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</si>
  <si>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</si>
  <si>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</si>
  <si>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</si>
  <si>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</si>
  <si>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</si>
  <si>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</si>
  <si>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</si>
  <si>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</si>
  <si>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</si>
  <si>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</si>
  <si>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</si>
  <si>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</si>
  <si>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</si>
  <si>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</si>
  <si>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</si>
  <si>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</si>
  <si>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</si>
  <si>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</si>
  <si>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</si>
  <si>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</si>
  <si>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</si>
  <si>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</si>
  <si>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</si>
  <si>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</si>
  <si>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</si>
  <si>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</si>
  <si>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</si>
  <si>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</si>
  <si>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</si>
  <si>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</si>
  <si>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</si>
  <si>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</si>
  <si>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</si>
  <si>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</si>
  <si>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</si>
  <si>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</si>
  <si>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</si>
  <si>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</si>
  <si>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</si>
  <si>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</si>
  <si>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</si>
  <si>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</si>
  <si>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</si>
  <si>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</si>
  <si>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</si>
  <si>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</si>
  <si>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</si>
  <si>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</si>
  <si>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</si>
  <si>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</si>
  <si>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</si>
  <si>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</si>
  <si>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</si>
  <si>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</si>
  <si>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</si>
  <si>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</si>
  <si>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</si>
  <si>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</si>
  <si>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</si>
  <si>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</si>
  <si>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</si>
  <si>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</si>
  <si>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</si>
  <si>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</si>
  <si>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</si>
  <si>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</si>
  <si>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</si>
  <si>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</si>
  <si>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</si>
  <si>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</si>
  <si>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</si>
  <si>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</si>
  <si>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</si>
  <si>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</si>
  <si>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</si>
  <si>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</si>
  <si>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</si>
  <si>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</si>
  <si>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</si>
  <si>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</si>
  <si>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</si>
  <si>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</si>
  <si>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</si>
  <si>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</si>
  <si>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</si>
  <si>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</si>
  <si>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</si>
  <si>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</si>
  <si>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</si>
  <si>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</si>
  <si>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</si>
  <si>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</si>
  <si>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</si>
  <si>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</si>
  <si>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</si>
  <si>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</si>
  <si>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</si>
  <si>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</si>
  <si>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</si>
  <si>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</si>
  <si>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</si>
  <si>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</si>
  <si>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</si>
  <si>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</si>
  <si>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</si>
  <si>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</si>
  <si>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</si>
  <si>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</si>
  <si>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</si>
  <si>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</si>
  <si>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</si>
  <si>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</si>
  <si>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</si>
  <si>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</si>
  <si>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</si>
  <si>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</si>
  <si>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</si>
  <si>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</si>
  <si>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</si>
  <si>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</si>
  <si>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</si>
  <si>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</si>
  <si>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</si>
  <si>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</si>
  <si>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</si>
  <si>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</si>
  <si>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</si>
  <si>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</si>
  <si>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</si>
  <si>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</si>
  <si>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</si>
  <si>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</si>
  <si>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</si>
  <si>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</si>
  <si>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</si>
  <si>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</si>
  <si>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</si>
  <si>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</si>
  <si>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</si>
  <si>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</si>
  <si>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</si>
  <si>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</si>
  <si>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</si>
  <si>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</si>
  <si>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</si>
  <si>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</si>
  <si>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</si>
  <si>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</si>
  <si>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</si>
  <si>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</si>
  <si>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</si>
  <si>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</si>
  <si>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</si>
  <si>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</si>
  <si>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</si>
  <si>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</si>
  <si>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</si>
  <si>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</si>
  <si>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</si>
  <si>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</si>
  <si>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</si>
  <si>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</si>
  <si>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</si>
  <si>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</si>
  <si>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</si>
  <si>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</si>
  <si>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</si>
  <si>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</si>
  <si>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</si>
  <si>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</si>
  <si>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</si>
  <si>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</si>
  <si>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</si>
  <si>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</si>
  <si>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</si>
  <si>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</si>
  <si>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</si>
  <si>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</si>
  <si>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</si>
  <si>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</si>
  <si>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</si>
  <si>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</si>
  <si>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</si>
  <si>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</si>
  <si>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</si>
  <si>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</si>
  <si>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</si>
  <si>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</si>
  <si>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</si>
  <si>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</si>
  <si>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</si>
  <si>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</si>
  <si>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</si>
  <si>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</si>
  <si>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</si>
  <si>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</si>
  <si>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</si>
  <si>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</si>
  <si>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</si>
  <si>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</si>
  <si>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</si>
  <si>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</si>
  <si>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</si>
  <si>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</si>
  <si>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</si>
  <si>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</si>
  <si>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Tjenestemandspensioner</t>
  </si>
  <si>
    <t>Vandsamarbejde etableret i medfør af § 52b i vandforsyningsloven</t>
  </si>
  <si>
    <t>Byggemodning</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</si>
  <si>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</si>
  <si>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</si>
  <si>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</si>
  <si>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</si>
  <si>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</si>
  <si>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</si>
  <si>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</si>
  <si>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</si>
  <si>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</si>
  <si>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</si>
  <si>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</si>
  <si>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</si>
  <si>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</si>
  <si>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</si>
  <si>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</si>
  <si>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</si>
  <si>
    <t>Fusion med Andelsselskabet Benløse Rundings Vandværk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</si>
</sst>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1" xfId="0"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ØR25-28"/>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yjUCwkvru4W11UuUQ4rxCvxCmVOkfwzzI6D5kHr2LcADQ5zX1/mL6HADrw7jTjLMQ5neOHyG6sMrZwBIjuq6qA==" saltValue="YKFlesFtCl++Kfl+YyCb4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election activeCell="C16" sqref="C16"/>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71" t="s">
        <v>243</v>
      </c>
      <c r="C10" s="9">
        <v>11905667</v>
      </c>
      <c r="D10" s="14" t="s">
        <v>3</v>
      </c>
      <c r="E10" s="1"/>
      <c r="F10" s="1"/>
    </row>
    <row r="11" spans="1:6" x14ac:dyDescent="0.25">
      <c r="A11" s="1"/>
      <c r="B11" s="71" t="s">
        <v>244</v>
      </c>
      <c r="C11" s="9">
        <v>94523</v>
      </c>
      <c r="D11" s="14" t="s">
        <v>3</v>
      </c>
      <c r="E11" s="1"/>
      <c r="F11" s="1"/>
    </row>
    <row r="12" spans="1:6" ht="26.25" x14ac:dyDescent="0.25">
      <c r="A12" s="1"/>
      <c r="B12" s="54" t="s">
        <v>245</v>
      </c>
      <c r="C12" s="9">
        <v>6493.61</v>
      </c>
      <c r="D12" s="14" t="s">
        <v>3</v>
      </c>
      <c r="E12" s="1"/>
      <c r="F12" s="1"/>
    </row>
    <row r="13" spans="1:6" x14ac:dyDescent="0.25">
      <c r="A13" s="1"/>
      <c r="B13" s="71" t="s">
        <v>246</v>
      </c>
      <c r="C13" s="9">
        <v>27228.97</v>
      </c>
      <c r="D13" s="14" t="s">
        <v>3</v>
      </c>
      <c r="E13" s="1"/>
      <c r="F13" s="1"/>
    </row>
    <row r="14" spans="1:6" x14ac:dyDescent="0.25">
      <c r="A14" s="1"/>
      <c r="B14" s="71" t="s">
        <v>247</v>
      </c>
      <c r="C14" s="9">
        <v>62490.8</v>
      </c>
      <c r="D14" s="14" t="s">
        <v>3</v>
      </c>
      <c r="E14" s="1"/>
      <c r="F14" s="1"/>
    </row>
    <row r="15" spans="1:6" ht="26.25" x14ac:dyDescent="0.25">
      <c r="A15" s="1"/>
      <c r="B15" s="54" t="s">
        <v>248</v>
      </c>
      <c r="C15" s="9">
        <v>98700</v>
      </c>
      <c r="D15" s="14" t="s">
        <v>3</v>
      </c>
      <c r="E15" s="1"/>
      <c r="F15" s="1"/>
    </row>
    <row r="16" spans="1:6" x14ac:dyDescent="0.25">
      <c r="A16" s="1"/>
      <c r="B16" s="71" t="s">
        <v>266</v>
      </c>
      <c r="C16" s="9">
        <f>0.5*1078513</f>
        <v>539256.5</v>
      </c>
      <c r="D16" s="14" t="s">
        <v>3</v>
      </c>
      <c r="E16" s="1"/>
      <c r="F16" s="1"/>
    </row>
    <row r="17" spans="1:6" x14ac:dyDescent="0.25">
      <c r="A17" s="1"/>
      <c r="B17" s="71"/>
      <c r="C17" s="9"/>
      <c r="D17" s="14" t="s">
        <v>3</v>
      </c>
      <c r="E17" s="1"/>
      <c r="F17" s="1"/>
    </row>
    <row r="18" spans="1:6" x14ac:dyDescent="0.25">
      <c r="A18" s="1"/>
      <c r="B18" s="71"/>
      <c r="C18" s="9"/>
      <c r="D18" s="14" t="s">
        <v>3</v>
      </c>
      <c r="E18" s="1"/>
      <c r="F18" s="1"/>
    </row>
    <row r="19" spans="1:6" x14ac:dyDescent="0.25">
      <c r="A19" s="1"/>
      <c r="B19" s="51" t="s">
        <v>213</v>
      </c>
      <c r="C19" s="12">
        <f>SUM(C10:C18)</f>
        <v>12734359.880000001</v>
      </c>
      <c r="D19" s="13" t="s">
        <v>3</v>
      </c>
      <c r="E19" s="1"/>
      <c r="F19" s="1"/>
    </row>
    <row r="20" spans="1:6" x14ac:dyDescent="0.25">
      <c r="A20" s="1"/>
      <c r="B20" s="51" t="s">
        <v>214</v>
      </c>
      <c r="C20" s="12">
        <f>C19*(1+'Fane 13. Nøgletal'!C16)^2</f>
        <v>14875370.487894963</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iFlBgvThhpIeOjU/SROLdBZ/k2YdL6utJ209cFUmStL7tdbIDjdtnurVniyMEmiazVs/dPbS8yn/n0A4vXxvg==" saltValue="TVgU/1gIQMb7svBYA9P+L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82F37-2EBB-4077-99BC-1C941CB5CD26}">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8"/>
      <c r="D6" s="59"/>
      <c r="E6" s="64"/>
      <c r="F6" s="64"/>
      <c r="G6" s="1"/>
    </row>
    <row r="7" spans="1:7" x14ac:dyDescent="0.25">
      <c r="A7" s="1"/>
      <c r="B7" s="1"/>
      <c r="C7" s="1"/>
      <c r="D7" s="1"/>
      <c r="E7" s="60"/>
      <c r="F7" s="1"/>
      <c r="G7" s="1"/>
    </row>
    <row r="8" spans="1:7" x14ac:dyDescent="0.25">
      <c r="A8" s="1"/>
      <c r="B8" s="107" t="s">
        <v>251</v>
      </c>
      <c r="C8" s="108"/>
      <c r="D8" s="108"/>
      <c r="E8" s="108"/>
      <c r="F8" s="109"/>
      <c r="G8" s="1"/>
    </row>
    <row r="9" spans="1:7" x14ac:dyDescent="0.25">
      <c r="A9" s="1"/>
      <c r="B9" s="101" t="s">
        <v>252</v>
      </c>
      <c r="C9" s="102"/>
      <c r="D9" s="103"/>
      <c r="E9" s="28">
        <v>-229799</v>
      </c>
      <c r="F9" s="14" t="s">
        <v>3</v>
      </c>
      <c r="G9" s="1"/>
    </row>
    <row r="10" spans="1:7" x14ac:dyDescent="0.25">
      <c r="A10" s="1"/>
      <c r="B10" s="51"/>
      <c r="C10" s="52"/>
      <c r="D10" s="52"/>
      <c r="E10" s="52"/>
      <c r="F10" s="19"/>
      <c r="G10" s="1"/>
    </row>
    <row r="11" spans="1:7" ht="53.25" customHeight="1" x14ac:dyDescent="0.25">
      <c r="A11" s="1"/>
      <c r="B11" s="126" t="s">
        <v>253</v>
      </c>
      <c r="C11" s="127"/>
      <c r="D11" s="127"/>
      <c r="E11" s="127"/>
      <c r="F11" s="128"/>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254</v>
      </c>
      <c r="C14" s="102"/>
      <c r="D14" s="103"/>
      <c r="E14" s="9">
        <v>-114899</v>
      </c>
      <c r="F14" s="14" t="s">
        <v>3</v>
      </c>
      <c r="G14" s="1"/>
    </row>
    <row r="15" spans="1:7" x14ac:dyDescent="0.25">
      <c r="A15" s="1"/>
      <c r="B15" s="101" t="s">
        <v>255</v>
      </c>
      <c r="C15" s="102"/>
      <c r="D15" s="103"/>
      <c r="E15" s="9">
        <v>-114899</v>
      </c>
      <c r="F15" s="14" t="s">
        <v>3</v>
      </c>
      <c r="G15" s="1"/>
    </row>
    <row r="16" spans="1:7" x14ac:dyDescent="0.25">
      <c r="A16" s="1"/>
      <c r="B16" s="51"/>
      <c r="C16" s="52"/>
      <c r="D16" s="52"/>
      <c r="E16" s="52"/>
      <c r="F16" s="19"/>
      <c r="G16" s="1"/>
    </row>
    <row r="17" spans="1:7" ht="32.25" customHeight="1" x14ac:dyDescent="0.25">
      <c r="A17" s="1"/>
      <c r="B17" s="126" t="s">
        <v>256</v>
      </c>
      <c r="C17" s="127"/>
      <c r="D17" s="127"/>
      <c r="E17" s="127"/>
      <c r="F17" s="128"/>
      <c r="G17" s="1"/>
    </row>
    <row r="18" spans="1:7" x14ac:dyDescent="0.25">
      <c r="A18" s="1"/>
      <c r="B18" s="1"/>
      <c r="C18" s="1"/>
      <c r="D18" s="1"/>
      <c r="E18" s="1"/>
      <c r="F18" s="1"/>
      <c r="G18" s="1"/>
    </row>
    <row r="19" spans="1:7" x14ac:dyDescent="0.25">
      <c r="A19" s="1"/>
      <c r="B19" s="65" t="s">
        <v>257</v>
      </c>
      <c r="C19" s="66"/>
      <c r="D19" s="66"/>
      <c r="E19" s="66"/>
      <c r="F19" s="67"/>
      <c r="G19" s="1"/>
    </row>
    <row r="20" spans="1:7" x14ac:dyDescent="0.25">
      <c r="A20" s="1"/>
      <c r="B20" s="68" t="s">
        <v>258</v>
      </c>
      <c r="C20" s="69"/>
      <c r="D20" s="70"/>
      <c r="E20" s="9">
        <v>26546651</v>
      </c>
      <c r="F20" s="14" t="s">
        <v>3</v>
      </c>
      <c r="G20" s="1"/>
    </row>
    <row r="21" spans="1:7" x14ac:dyDescent="0.25">
      <c r="A21" s="1"/>
      <c r="B21" s="68" t="s">
        <v>259</v>
      </c>
      <c r="C21" s="69"/>
      <c r="D21" s="70"/>
      <c r="E21" s="9">
        <v>26654067</v>
      </c>
      <c r="F21" s="14" t="s">
        <v>3</v>
      </c>
      <c r="G21" s="1"/>
    </row>
    <row r="22" spans="1:7" x14ac:dyDescent="0.25">
      <c r="A22" s="1"/>
      <c r="B22" s="68" t="s">
        <v>29</v>
      </c>
      <c r="C22" s="69"/>
      <c r="D22" s="70"/>
      <c r="E22" s="9">
        <v>0</v>
      </c>
      <c r="F22" s="14" t="s">
        <v>3</v>
      </c>
      <c r="G22" s="1"/>
    </row>
    <row r="23" spans="1:7" x14ac:dyDescent="0.25">
      <c r="A23" s="1"/>
      <c r="B23" s="73" t="s">
        <v>260</v>
      </c>
      <c r="C23" s="74"/>
      <c r="D23" s="75"/>
      <c r="E23" s="10">
        <f>E20-(E21-E22)</f>
        <v>-107416</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7" t="s">
        <v>261</v>
      </c>
      <c r="C26" s="108"/>
      <c r="D26" s="108"/>
      <c r="E26" s="108"/>
      <c r="F26" s="109"/>
      <c r="G26" s="1"/>
    </row>
    <row r="27" spans="1:7" x14ac:dyDescent="0.25">
      <c r="A27" s="1"/>
      <c r="B27" s="129" t="s">
        <v>262</v>
      </c>
      <c r="C27" s="130"/>
      <c r="D27" s="131"/>
      <c r="E27" s="61">
        <f>IF(AND(E15&lt;0,E23&gt;0,ABS(SUM(E14:E15))&lt;E23),ABS(E14),IF(AND(E15&lt;0,E23&gt;0,ABS(SUM(E14:E15))&gt;E23),SUM(E14,E23),0))</f>
        <v>0</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263</v>
      </c>
      <c r="C30" s="108"/>
      <c r="D30" s="108"/>
      <c r="E30" s="108"/>
      <c r="F30" s="109"/>
      <c r="G30" s="1"/>
    </row>
    <row r="31" spans="1:7" x14ac:dyDescent="0.25">
      <c r="A31" s="1"/>
      <c r="B31" s="119" t="s">
        <v>117</v>
      </c>
      <c r="C31" s="120"/>
      <c r="D31" s="121"/>
      <c r="E31" s="62">
        <f>IF(AND(E9&gt;0,(E9+E23)&gt;0),0,IF(AND(E9&gt;0,(E9+E23)&lt;0),(E9+E23),IF(AND(E9&lt;0,E23&lt;0),E23,0)))</f>
        <v>-107416</v>
      </c>
      <c r="F31" s="14" t="s">
        <v>3</v>
      </c>
      <c r="G31" s="1"/>
    </row>
    <row r="32" spans="1:7" x14ac:dyDescent="0.25">
      <c r="A32" s="1"/>
      <c r="B32" s="119" t="s">
        <v>85</v>
      </c>
      <c r="C32" s="120"/>
      <c r="D32" s="121"/>
      <c r="E32" s="9">
        <v>2</v>
      </c>
      <c r="F32" s="14" t="s">
        <v>18</v>
      </c>
      <c r="G32" s="1"/>
    </row>
    <row r="33" spans="1:7" x14ac:dyDescent="0.25">
      <c r="A33" s="1"/>
      <c r="B33" s="122" t="s">
        <v>116</v>
      </c>
      <c r="C33" s="122"/>
      <c r="D33" s="122"/>
      <c r="E33" s="61">
        <f>E31/E32</f>
        <v>-53708</v>
      </c>
      <c r="F33" s="17" t="s">
        <v>3</v>
      </c>
      <c r="G33" s="1"/>
    </row>
    <row r="34" spans="1:7" x14ac:dyDescent="0.25">
      <c r="A34" s="1"/>
      <c r="B34" s="123"/>
      <c r="C34" s="124"/>
      <c r="D34" s="124"/>
      <c r="E34" s="124"/>
      <c r="F34" s="12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ueqR9CyV7BqFcVpa7Qxb6Li9ewibvSQzLBsdF6eoBxt2sKDwnLaAr38qdqPaIWDmloZ8nM5NjZxzffbHUXU1Eg==" saltValue="lrjBrnqNbEeNLIrEuFv+dg=="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jbqOkRMcFmEiyetizLaULjkdAJBuRE10pblNJcE6jEp7D4TSV3YyS5nf+oLHSdK6TDDpC+1r/M0uGleCWhh7WQ==" saltValue="DTaG4DAVi3+Za7ajZ+Oo0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7"/>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Z5RHYpOU7tKU0YJSDkv+/cwl3DctQhJJVrmN6JYPjOZ0PefrBbcWyQJBK8RdAbVo5QSqrGy2ZZE2pWCj2KAa5A==" saltValue="1uX0kNMyKr2mZt8jJEuPU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election activeCell="E12" sqref="E12"/>
    </sheetView>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249</v>
      </c>
      <c r="C11" s="21">
        <v>174354</v>
      </c>
      <c r="D11" s="14" t="s">
        <v>3</v>
      </c>
      <c r="E11" s="9">
        <v>138830</v>
      </c>
      <c r="F11" s="14" t="s">
        <v>3</v>
      </c>
      <c r="G11" s="1"/>
    </row>
    <row r="12" spans="1:7" x14ac:dyDescent="0.25">
      <c r="A12" s="1"/>
      <c r="B12" s="27" t="s">
        <v>266</v>
      </c>
      <c r="C12" s="21">
        <f>0.5*1620885</f>
        <v>810442.5</v>
      </c>
      <c r="D12" s="14" t="s">
        <v>3</v>
      </c>
      <c r="E12" s="9">
        <f>0.5*72960</f>
        <v>36480</v>
      </c>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984796.5</v>
      </c>
      <c r="D17" s="13" t="s">
        <v>3</v>
      </c>
      <c r="E17" s="12">
        <f>SUM(E10:E16)</f>
        <v>175310</v>
      </c>
      <c r="F17" s="13" t="s">
        <v>3</v>
      </c>
      <c r="G17" s="1"/>
    </row>
    <row r="18" spans="1:7" x14ac:dyDescent="0.25">
      <c r="A18" s="1"/>
      <c r="B18" s="51" t="s">
        <v>209</v>
      </c>
      <c r="C18" s="12">
        <f>C17*(1+'Fane 13. Nøgletal'!C16)</f>
        <v>1064368.0571999999</v>
      </c>
      <c r="D18" s="13" t="s">
        <v>3</v>
      </c>
      <c r="E18" s="12">
        <f>E17*(1+'Fane 13. Nøgletal'!C16)</f>
        <v>189475.04800000001</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ZQC55zRdMEatvXf10+RYkfz93yeiI5OL7P+mQp7d25CXRVtHeAGgOvE1twiDjiemzEvnvoAog7CfZUhtbfCSMQ==" saltValue="f1kUg1iipgqCMACDEiyKD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250</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Tw72CoctnzRHd0PG4P17F1oyd1nO8QnK+QJhvPQeG02gwvbIlwFqjdEf3+qjuBHx7ENQYSD/d+eifAtThsBZA==" saltValue="/6QP1LVgdl28fZ66is5p7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3" t="s">
        <v>105</v>
      </c>
      <c r="C9" s="132" t="s">
        <v>10</v>
      </c>
      <c r="D9" s="134"/>
      <c r="E9" s="132" t="s">
        <v>27</v>
      </c>
      <c r="F9" s="134"/>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8gY/8hXFfjWc8PdUXL0gWo2PCnUaSwt2SiTDXfpI5z4ezj+O5JjiDVG7ESLYHFm/PY5B5x4ZR0/UDN2otB7EhQ==" saltValue="xXtw/n19ObBeXmNcS9HIt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U4J6UBsPFYQCd1N4zQmBgj04BRaKoHARMKVcHGDmiaBgcM/7rl1r7HhxiAt9ee+x6YsiwpTYYQYhlx03UC64w==" saltValue="G7WbfZ6XPm6YcS9ps12l8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71" t="s">
        <v>93</v>
      </c>
      <c r="C9" s="40">
        <v>1.2699999999999999E-2</v>
      </c>
      <c r="D9" s="1"/>
    </row>
    <row r="10" spans="1:4" x14ac:dyDescent="0.25">
      <c r="A10" s="1"/>
      <c r="B10" s="71" t="s">
        <v>21</v>
      </c>
      <c r="C10" s="40">
        <v>1.7500000000000002E-2</v>
      </c>
      <c r="D10" s="1"/>
    </row>
    <row r="11" spans="1:4" x14ac:dyDescent="0.25">
      <c r="A11" s="1"/>
      <c r="B11" s="71"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71" t="s">
        <v>95</v>
      </c>
      <c r="C21" s="42">
        <v>9.1000000000000004E-3</v>
      </c>
      <c r="D21" s="1"/>
    </row>
    <row r="22" spans="1:4" x14ac:dyDescent="0.25">
      <c r="A22" s="1"/>
      <c r="B22" s="71" t="s">
        <v>96</v>
      </c>
      <c r="C22" s="42">
        <v>1.77E-2</v>
      </c>
      <c r="D22" s="1"/>
    </row>
    <row r="23" spans="1:4" x14ac:dyDescent="0.25">
      <c r="A23" s="1"/>
      <c r="B23" s="71" t="s">
        <v>97</v>
      </c>
      <c r="C23" s="42">
        <v>8.6999999999999994E-3</v>
      </c>
      <c r="D23" s="1"/>
    </row>
    <row r="24" spans="1:4" x14ac:dyDescent="0.25">
      <c r="A24" s="1"/>
      <c r="B24" s="71" t="s">
        <v>98</v>
      </c>
      <c r="C24" s="42">
        <v>2.8400000000000002E-2</v>
      </c>
      <c r="D24" s="1"/>
    </row>
    <row r="25" spans="1:4" x14ac:dyDescent="0.25">
      <c r="A25" s="1"/>
      <c r="B25" s="71" t="s">
        <v>111</v>
      </c>
      <c r="C25" s="42">
        <v>2.75E-2</v>
      </c>
      <c r="D25" s="1"/>
    </row>
    <row r="26" spans="1:4" x14ac:dyDescent="0.25">
      <c r="A26" s="1"/>
      <c r="B26" s="71"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71"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ajFGBtXgOgNPg1xq6RQ/dcCeRdYAEw7UBTWhGSJgEn+vybSdKFzaL64eJhMe1njbn8D3vhKN8FUrBbXvPVnKKA==" saltValue="UdiztWqvwpTWTkcQ8q3n3A=="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tabSelected="1" view="pageLayout" zoomScaleNormal="100" workbookViewId="0">
      <selection activeCell="C17" sqref="C17"/>
    </sheetView>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17131552.277608559</v>
      </c>
      <c r="D8" s="8" t="s">
        <v>3</v>
      </c>
      <c r="E8" s="1"/>
    </row>
    <row r="9" spans="1:5" ht="17.100000000000001" customHeight="1" x14ac:dyDescent="0.25">
      <c r="A9" s="1"/>
      <c r="B9" s="24" t="s">
        <v>33</v>
      </c>
      <c r="C9" s="7">
        <f>'Fane 10.1. Varige tillæg'!C18</f>
        <v>1064368.0571999999</v>
      </c>
      <c r="D9" s="8" t="s">
        <v>3</v>
      </c>
      <c r="E9" s="1"/>
    </row>
    <row r="10" spans="1:5" ht="17.100000000000001" customHeight="1" x14ac:dyDescent="0.25">
      <c r="A10" s="1"/>
      <c r="B10" s="24" t="s">
        <v>34</v>
      </c>
      <c r="C10" s="9">
        <f>'Fane 10.1. Varige tillæg'!E18</f>
        <v>189475.04800000001</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711193.78398302465</v>
      </c>
      <c r="D15" s="8" t="s">
        <v>3</v>
      </c>
      <c r="E15" s="1"/>
    </row>
    <row r="16" spans="1:5" ht="17.100000000000001" customHeight="1" x14ac:dyDescent="0.25">
      <c r="A16" s="1"/>
      <c r="B16" s="24" t="s">
        <v>9</v>
      </c>
      <c r="C16" s="9">
        <f>-SUM(C8,C9:C15)*'Fane 5. Individuelt eff. krav'!G9</f>
        <v>-36289.075703169015</v>
      </c>
      <c r="D16" s="8" t="s">
        <v>3</v>
      </c>
      <c r="E16" s="1"/>
    </row>
    <row r="17" spans="1:5" ht="17.100000000000001" customHeight="1" x14ac:dyDescent="0.25">
      <c r="A17" s="1"/>
      <c r="B17" s="24" t="s">
        <v>22</v>
      </c>
      <c r="C17" s="9">
        <f>-'Fane 4.1. Gen. krav - drift'!G49</f>
        <v>-203308.19481415849</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18856991.896274257</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14875370.487894963</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6">
        <f>SUM(C23:C26)</f>
        <v>0</v>
      </c>
      <c r="D27" s="11" t="s">
        <v>3</v>
      </c>
      <c r="E27" s="1"/>
    </row>
    <row r="28" spans="1:5" ht="15" customHeight="1" x14ac:dyDescent="0.25">
      <c r="A28" s="1"/>
      <c r="B28" s="26" t="s">
        <v>117</v>
      </c>
      <c r="C28" s="52"/>
      <c r="D28" s="19"/>
      <c r="E28" s="1"/>
    </row>
    <row r="29" spans="1:5" x14ac:dyDescent="0.25">
      <c r="A29" s="1"/>
      <c r="B29" s="72" t="s">
        <v>118</v>
      </c>
      <c r="C29" s="10">
        <f>'Fane 7. Kontrol af ØR2022'!E15</f>
        <v>-114899</v>
      </c>
      <c r="D29" s="11" t="s">
        <v>3</v>
      </c>
      <c r="E29" s="1"/>
    </row>
    <row r="30" spans="1:5" x14ac:dyDescent="0.25">
      <c r="A30" s="1"/>
      <c r="B30" s="26" t="s">
        <v>138</v>
      </c>
      <c r="C30" s="52"/>
      <c r="D30" s="19"/>
      <c r="E30" s="1"/>
    </row>
    <row r="31" spans="1:5" x14ac:dyDescent="0.25">
      <c r="A31" s="1"/>
      <c r="B31" s="72" t="s">
        <v>139</v>
      </c>
      <c r="C31" s="10">
        <f>'Fane 8. Skattesagen'!G13</f>
        <v>0</v>
      </c>
      <c r="D31" s="11" t="s">
        <v>3</v>
      </c>
      <c r="E31" s="1"/>
    </row>
    <row r="32" spans="1:5" x14ac:dyDescent="0.25">
      <c r="A32" s="1"/>
      <c r="B32" s="26" t="s">
        <v>264</v>
      </c>
      <c r="C32" s="52"/>
      <c r="D32" s="19"/>
      <c r="E32" s="1"/>
    </row>
    <row r="33" spans="1:5" x14ac:dyDescent="0.25">
      <c r="A33" s="1"/>
      <c r="B33" s="72" t="s">
        <v>265</v>
      </c>
      <c r="C33" s="10">
        <v>718766.69219837687</v>
      </c>
      <c r="D33" s="11" t="s">
        <v>3</v>
      </c>
      <c r="E33" s="1"/>
    </row>
    <row r="34" spans="1:5" x14ac:dyDescent="0.25">
      <c r="A34" s="1"/>
      <c r="B34" s="51" t="s">
        <v>126</v>
      </c>
      <c r="C34" s="33">
        <f>SUM(C19,C21,C27,C29,C31,C33)</f>
        <v>34336230.076367594</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H1r+MbRAk4K2qTWj2TyuGiUS0RWFOL8gTVtxXOSXLj7CzCyZGQliPF7SEGslx+nVtTeSW0Mb/TNvW9gE/KcfA==" saltValue="z0+KHN96q6MarmPQuEyF3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election activeCell="C8" sqref="C8:C20"/>
    </sheetView>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18856991.896274257</v>
      </c>
      <c r="D8" s="8" t="s">
        <v>3</v>
      </c>
      <c r="E8" s="1"/>
    </row>
    <row r="9" spans="1:5" ht="15" customHeight="1" x14ac:dyDescent="0.25">
      <c r="A9" s="1"/>
      <c r="B9" s="29" t="s">
        <v>17</v>
      </c>
      <c r="C9" s="9">
        <f>SUM(C8:C8)*'Fane 13. Nøgletal'!C16</f>
        <v>1523644.9452189601</v>
      </c>
      <c r="D9" s="8" t="s">
        <v>3</v>
      </c>
      <c r="E9" s="1"/>
    </row>
    <row r="10" spans="1:5" ht="15" customHeight="1" x14ac:dyDescent="0.25">
      <c r="A10" s="1"/>
      <c r="B10" s="29" t="s">
        <v>9</v>
      </c>
      <c r="C10" s="9">
        <f>-SUM(C8:C9)*'Fane 5. Individuelt eff. krav'!G9</f>
        <v>-38729.13988775944</v>
      </c>
      <c r="D10" s="8" t="s">
        <v>3</v>
      </c>
      <c r="E10" s="1"/>
    </row>
    <row r="11" spans="1:5" ht="15" customHeight="1" x14ac:dyDescent="0.25">
      <c r="A11" s="1"/>
      <c r="B11" s="29" t="s">
        <v>22</v>
      </c>
      <c r="C11" s="9">
        <f>-'Fane 4.1. Gen. krav - drift'!G54</f>
        <v>-215340.78701603966</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20126566.914589424</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16077300.423316875</v>
      </c>
      <c r="D15" s="11" t="s">
        <v>3</v>
      </c>
      <c r="E15" s="1"/>
    </row>
    <row r="16" spans="1:5" x14ac:dyDescent="0.25">
      <c r="A16" s="1"/>
      <c r="B16" s="26" t="s">
        <v>117</v>
      </c>
      <c r="C16" s="52"/>
      <c r="D16" s="19"/>
      <c r="E16" s="1"/>
    </row>
    <row r="17" spans="1:5" ht="15" customHeight="1" x14ac:dyDescent="0.25">
      <c r="A17" s="1"/>
      <c r="B17" s="72" t="s">
        <v>118</v>
      </c>
      <c r="C17" s="10">
        <f>'Fane 7. Kontrol af ØR2022'!E33</f>
        <v>-53708</v>
      </c>
      <c r="D17" s="11" t="s">
        <v>3</v>
      </c>
      <c r="E17" s="1"/>
    </row>
    <row r="18" spans="1:5" x14ac:dyDescent="0.25">
      <c r="A18" s="1"/>
      <c r="B18" s="26" t="s">
        <v>138</v>
      </c>
      <c r="C18" s="52"/>
      <c r="D18" s="19"/>
      <c r="E18" s="1"/>
    </row>
    <row r="19" spans="1:5" x14ac:dyDescent="0.25">
      <c r="A19" s="1"/>
      <c r="B19" s="72" t="s">
        <v>139</v>
      </c>
      <c r="C19" s="10">
        <f>'Fane 8. Skattesagen'!G13</f>
        <v>0</v>
      </c>
      <c r="D19" s="11" t="s">
        <v>3</v>
      </c>
      <c r="E19" s="1"/>
    </row>
    <row r="20" spans="1:5" x14ac:dyDescent="0.25">
      <c r="A20" s="1"/>
      <c r="B20" s="51" t="s">
        <v>128</v>
      </c>
      <c r="C20" s="12">
        <f>SUM(C13,C15,C17,C19)</f>
        <v>36150159.337906301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olIn/FWx0ckAt7QmkbxaTNxv+iJyLAyA5/mZhpz5xUt/YMwV/yIWhVsTgJ1Rqe5muyJpPiGGG8TTmmQIHozwg==" saltValue="6kzo253rIFZ74iATLkehI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election activeCell="C8" sqref="C8:C20"/>
    </sheetView>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20126566.914589424</v>
      </c>
      <c r="D8" s="8" t="s">
        <v>3</v>
      </c>
      <c r="E8" s="1"/>
    </row>
    <row r="9" spans="1:5" ht="15" customHeight="1" x14ac:dyDescent="0.25">
      <c r="A9" s="1"/>
      <c r="B9" s="29" t="s">
        <v>17</v>
      </c>
      <c r="C9" s="9">
        <f>SUM(C8:C8)*'Fane 13. Nøgletal'!C16</f>
        <v>1626226.6066988253</v>
      </c>
      <c r="D9" s="8" t="s">
        <v>3</v>
      </c>
      <c r="E9" s="1"/>
    </row>
    <row r="10" spans="1:5" ht="15" customHeight="1" x14ac:dyDescent="0.25">
      <c r="A10" s="1"/>
      <c r="B10" s="29" t="s">
        <v>9</v>
      </c>
      <c r="C10" s="9">
        <f>-SUM(C8:C9)*'Fane 5. Individuelt eff. krav'!G9</f>
        <v>-41336.636817958984</v>
      </c>
      <c r="D10" s="8" t="s">
        <v>3</v>
      </c>
      <c r="E10" s="1"/>
    </row>
    <row r="11" spans="1:5" ht="15" customHeight="1" x14ac:dyDescent="0.25">
      <c r="A11" s="1"/>
      <c r="B11" s="29" t="s">
        <v>22</v>
      </c>
      <c r="C11" s="9">
        <f>-'Fane 4.1. Gen. krav - drift'!G59</f>
        <v>-228085.51615479693</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21483371.368315496</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17376346.29752088</v>
      </c>
      <c r="D15" s="11" t="s">
        <v>3</v>
      </c>
      <c r="E15" s="1"/>
    </row>
    <row r="16" spans="1:5" x14ac:dyDescent="0.25">
      <c r="A16" s="1"/>
      <c r="B16" s="51" t="s">
        <v>117</v>
      </c>
      <c r="C16" s="52"/>
      <c r="D16" s="19"/>
      <c r="E16" s="1"/>
    </row>
    <row r="17" spans="1:5" x14ac:dyDescent="0.25">
      <c r="A17" s="1"/>
      <c r="B17" s="53" t="s">
        <v>118</v>
      </c>
      <c r="C17" s="10">
        <f>'Fane 7. Kontrol af ØR2022'!E33</f>
        <v>-53708</v>
      </c>
      <c r="D17" s="11" t="s">
        <v>3</v>
      </c>
      <c r="E17" s="1"/>
    </row>
    <row r="18" spans="1:5" ht="15" customHeight="1" x14ac:dyDescent="0.25">
      <c r="A18" s="1"/>
      <c r="B18" s="26" t="s">
        <v>138</v>
      </c>
      <c r="C18" s="52"/>
      <c r="D18" s="19"/>
      <c r="E18" s="1"/>
    </row>
    <row r="19" spans="1:5" ht="15" customHeight="1" x14ac:dyDescent="0.25">
      <c r="A19" s="1"/>
      <c r="B19" s="72" t="s">
        <v>139</v>
      </c>
      <c r="C19" s="10">
        <f>'Fane 8. Skattesagen'!G14</f>
        <v>0</v>
      </c>
      <c r="D19" s="11" t="s">
        <v>3</v>
      </c>
      <c r="E19" s="1"/>
    </row>
    <row r="20" spans="1:5" x14ac:dyDescent="0.25">
      <c r="A20" s="1"/>
      <c r="B20" s="51" t="s">
        <v>143</v>
      </c>
      <c r="C20" s="12">
        <f>SUM(C13,C15,C17,C19)</f>
        <v>38806009.665836379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XxQGZljdx/geP1k+a5WqCgD66jUtcGPMhY8D8qyO4plUeyYJKhca0beKAvKt45P6NzZ1gDNoP7NzeEASLEpow==" saltValue="pBjzQ9QgvztmzWP9jq2RG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election activeCell="C8" sqref="C8:C20"/>
    </sheetView>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21483371.368315496</v>
      </c>
      <c r="D8" s="8" t="s">
        <v>3</v>
      </c>
      <c r="E8" s="1"/>
    </row>
    <row r="9" spans="1:5" ht="15" customHeight="1" x14ac:dyDescent="0.25">
      <c r="A9" s="1"/>
      <c r="B9" s="29" t="s">
        <v>17</v>
      </c>
      <c r="C9" s="9">
        <f>SUM(C8:C8)*'Fane 13. Nøgletal'!C16</f>
        <v>1735856.406559892</v>
      </c>
      <c r="D9" s="8" t="s">
        <v>3</v>
      </c>
      <c r="E9" s="1"/>
    </row>
    <row r="10" spans="1:5" ht="15" customHeight="1" x14ac:dyDescent="0.25">
      <c r="A10" s="1"/>
      <c r="B10" s="29" t="s">
        <v>9</v>
      </c>
      <c r="C10" s="9">
        <f>-SUM(C8:C9)*'Fane 5. Individuelt eff. krav'!G9</f>
        <v>-44123.28856908343</v>
      </c>
      <c r="D10" s="8" t="s">
        <v>3</v>
      </c>
      <c r="E10" s="1"/>
    </row>
    <row r="11" spans="1:5" ht="15" customHeight="1" x14ac:dyDescent="0.25">
      <c r="A11" s="1"/>
      <c r="B11" s="29" t="s">
        <v>22</v>
      </c>
      <c r="C11" s="9">
        <f>-'Fane 4.1. Gen. krav - drift'!G64</f>
        <v>-241584.52934290242</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22933519.956963405</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18780355.078360565</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2" t="s">
        <v>139</v>
      </c>
      <c r="C19" s="10">
        <f>'Fane 8. Skattesagen'!G15</f>
        <v>0</v>
      </c>
      <c r="D19" s="11" t="s">
        <v>3</v>
      </c>
      <c r="E19" s="1"/>
    </row>
    <row r="20" spans="1:5" x14ac:dyDescent="0.25">
      <c r="A20" s="1"/>
      <c r="B20" s="51" t="s">
        <v>205</v>
      </c>
      <c r="C20" s="12">
        <f>SUM(C13,C15,C17,C19)</f>
        <v>41713875.03532397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6qzU8BQ06i5BhIZZvAO+swPCk3L/jQfe/B9R4MXzgGeIx/18ZMqRySDsn3ExYWIG4Wxga08CEfHWZ05K5taNw==" saltValue="lvv/C0toefwOddb0Kc4KF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election activeCell="C8" sqref="C8"/>
    </sheetView>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15668940.087733848</v>
      </c>
      <c r="D8" s="8" t="s">
        <v>3</v>
      </c>
      <c r="E8" s="1"/>
    </row>
    <row r="9" spans="1:5" x14ac:dyDescent="0.25">
      <c r="A9" s="1"/>
      <c r="B9" s="24" t="s">
        <v>33</v>
      </c>
      <c r="C9" s="7">
        <v>492999.45120000001</v>
      </c>
      <c r="D9" s="8" t="s">
        <v>3</v>
      </c>
      <c r="E9" s="1"/>
    </row>
    <row r="10" spans="1:5" x14ac:dyDescent="0.25">
      <c r="A10" s="1"/>
      <c r="B10" s="24" t="s">
        <v>34</v>
      </c>
      <c r="C10" s="9">
        <v>584065.97279999999</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596157.79621772491</v>
      </c>
      <c r="D15" s="8" t="s">
        <v>3</v>
      </c>
      <c r="E15" s="1"/>
    </row>
    <row r="16" spans="1:5" x14ac:dyDescent="0.25">
      <c r="A16" s="1"/>
      <c r="B16" s="24" t="s">
        <v>9</v>
      </c>
      <c r="C16" s="9">
        <v>-32955.15610889106</v>
      </c>
      <c r="D16" s="8" t="s">
        <v>3</v>
      </c>
      <c r="E16" s="1"/>
    </row>
    <row r="17" spans="1:5" x14ac:dyDescent="0.25">
      <c r="A17" s="1"/>
      <c r="B17" s="24" t="s">
        <v>22</v>
      </c>
      <c r="C17" s="9">
        <v>-177655.87423412563</v>
      </c>
      <c r="D17" s="8" t="s">
        <v>3</v>
      </c>
      <c r="E17" s="1"/>
    </row>
    <row r="18" spans="1:5" x14ac:dyDescent="0.25">
      <c r="A18" s="1"/>
      <c r="B18" s="24" t="s">
        <v>23</v>
      </c>
      <c r="C18" s="9">
        <v>0</v>
      </c>
      <c r="D18" s="8" t="s">
        <v>3</v>
      </c>
      <c r="E18" s="1"/>
    </row>
    <row r="19" spans="1:5" x14ac:dyDescent="0.25">
      <c r="A19" s="1"/>
      <c r="B19" s="73" t="s">
        <v>19</v>
      </c>
      <c r="C19" s="10">
        <v>17131552.277608559</v>
      </c>
      <c r="D19" s="11" t="s">
        <v>3</v>
      </c>
      <c r="E19" s="1"/>
    </row>
    <row r="20" spans="1:5" x14ac:dyDescent="0.25">
      <c r="A20" s="1"/>
      <c r="B20" s="51" t="s">
        <v>11</v>
      </c>
      <c r="C20" s="52"/>
      <c r="D20" s="19"/>
      <c r="E20" s="1"/>
    </row>
    <row r="21" spans="1:5" x14ac:dyDescent="0.25">
      <c r="A21" s="1"/>
      <c r="B21" s="53" t="s">
        <v>11</v>
      </c>
      <c r="C21" s="10">
        <v>13004029.23396768</v>
      </c>
      <c r="D21" s="11" t="s">
        <v>3</v>
      </c>
      <c r="E21" s="1"/>
    </row>
    <row r="22" spans="1:5" x14ac:dyDescent="0.25">
      <c r="A22" s="1"/>
      <c r="B22" s="51" t="s">
        <v>75</v>
      </c>
      <c r="C22" s="52"/>
      <c r="D22" s="19"/>
      <c r="E22" s="1"/>
    </row>
    <row r="23" spans="1:5" x14ac:dyDescent="0.25">
      <c r="A23" s="1"/>
      <c r="B23" s="24" t="s">
        <v>71</v>
      </c>
      <c r="C23" s="9">
        <v>252812.73077280002</v>
      </c>
      <c r="D23" s="8" t="s">
        <v>3</v>
      </c>
      <c r="E23" s="1"/>
    </row>
    <row r="24" spans="1:5" x14ac:dyDescent="0.25">
      <c r="A24" s="1"/>
      <c r="B24" s="24" t="s">
        <v>72</v>
      </c>
      <c r="C24" s="9">
        <v>0</v>
      </c>
      <c r="D24" s="8" t="s">
        <v>3</v>
      </c>
      <c r="E24" s="1"/>
    </row>
    <row r="25" spans="1:5" x14ac:dyDescent="0.25">
      <c r="A25" s="1"/>
      <c r="B25" s="24" t="s">
        <v>164</v>
      </c>
      <c r="C25" s="9">
        <v>-5536.672361557642</v>
      </c>
      <c r="D25" s="8" t="s">
        <v>3</v>
      </c>
      <c r="E25" s="1"/>
    </row>
    <row r="26" spans="1:5" x14ac:dyDescent="0.25">
      <c r="A26" s="1"/>
      <c r="B26" s="24" t="s">
        <v>165</v>
      </c>
      <c r="C26" s="9">
        <v>0</v>
      </c>
      <c r="D26" s="8" t="s">
        <v>3</v>
      </c>
      <c r="E26" s="1"/>
    </row>
    <row r="27" spans="1:5" x14ac:dyDescent="0.25">
      <c r="A27" s="1"/>
      <c r="B27" s="73" t="s">
        <v>76</v>
      </c>
      <c r="C27" s="56">
        <v>247276.05841124238</v>
      </c>
      <c r="D27" s="11" t="s">
        <v>3</v>
      </c>
      <c r="E27" s="1"/>
    </row>
    <row r="28" spans="1:5" x14ac:dyDescent="0.25">
      <c r="A28" s="1"/>
      <c r="B28" s="26" t="s">
        <v>117</v>
      </c>
      <c r="C28" s="52"/>
      <c r="D28" s="19"/>
      <c r="E28" s="1"/>
    </row>
    <row r="29" spans="1:5" x14ac:dyDescent="0.25">
      <c r="A29" s="1"/>
      <c r="B29" s="72" t="s">
        <v>118</v>
      </c>
      <c r="C29" s="10">
        <v>-114899.36089032143</v>
      </c>
      <c r="D29" s="11" t="s">
        <v>3</v>
      </c>
      <c r="E29" s="1"/>
    </row>
    <row r="30" spans="1:5" x14ac:dyDescent="0.25">
      <c r="A30" s="1"/>
      <c r="B30" s="26" t="s">
        <v>138</v>
      </c>
      <c r="C30" s="52"/>
      <c r="D30" s="19"/>
      <c r="E30" s="1"/>
    </row>
    <row r="31" spans="1:5" x14ac:dyDescent="0.25">
      <c r="A31" s="1"/>
      <c r="B31" s="72" t="s">
        <v>139</v>
      </c>
      <c r="C31" s="10">
        <v>0</v>
      </c>
      <c r="D31" s="11" t="s">
        <v>3</v>
      </c>
      <c r="E31" s="1"/>
    </row>
    <row r="32" spans="1:5" x14ac:dyDescent="0.25">
      <c r="A32" s="1"/>
      <c r="B32" s="51" t="s">
        <v>239</v>
      </c>
      <c r="C32" s="33">
        <v>30267958.209097158</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HpNvzyHC6MFje3qRnrerhQVmDGCNKl2rmkFRDA7O3onGXc9+NZMyTbfLXc9162w3kjG9evxVAIaHu8JyWq7h3w==" saltValue="flILKT6bNx3Nr7eVDeLY3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7226320</v>
      </c>
      <c r="H5" s="14" t="s">
        <v>3</v>
      </c>
      <c r="I5" s="1"/>
    </row>
    <row r="6" spans="1:9" x14ac:dyDescent="0.25">
      <c r="A6" s="1"/>
      <c r="B6" s="101" t="s">
        <v>37</v>
      </c>
      <c r="C6" s="102"/>
      <c r="D6" s="102"/>
      <c r="E6" s="102"/>
      <c r="F6" s="103"/>
      <c r="G6" s="22">
        <f>G5*'Fane 13. Nøgletal'!C33</f>
        <v>144526.39999999999</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7171732.3787199995</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143434.64757440001</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7147075.9628019603</v>
      </c>
      <c r="H16" s="14" t="s">
        <v>3</v>
      </c>
      <c r="I16" s="1"/>
    </row>
    <row r="17" spans="1:9" x14ac:dyDescent="0.25">
      <c r="A17" s="1"/>
      <c r="B17" s="101" t="s">
        <v>100</v>
      </c>
      <c r="C17" s="102"/>
      <c r="D17" s="102"/>
      <c r="E17" s="102"/>
      <c r="F17" s="103"/>
      <c r="G17" s="47">
        <v>141396.11053986137</v>
      </c>
      <c r="H17" s="14" t="s">
        <v>3</v>
      </c>
      <c r="I17" s="1"/>
    </row>
    <row r="18" spans="1:9" x14ac:dyDescent="0.25">
      <c r="A18" s="1"/>
      <c r="B18" s="104" t="s">
        <v>229</v>
      </c>
      <c r="C18" s="105"/>
      <c r="D18" s="105"/>
      <c r="E18" s="105"/>
      <c r="F18" s="106"/>
      <c r="G18" s="47">
        <v>98128.519875339975</v>
      </c>
      <c r="H18" s="14" t="s">
        <v>3</v>
      </c>
      <c r="I18" s="1"/>
    </row>
    <row r="19" spans="1:9" x14ac:dyDescent="0.25">
      <c r="A19" s="1"/>
      <c r="B19" s="101" t="s">
        <v>41</v>
      </c>
      <c r="C19" s="102"/>
      <c r="D19" s="102"/>
      <c r="E19" s="102"/>
      <c r="F19" s="103"/>
      <c r="G19" s="22">
        <f>SUM(G16:G18)*'Fane 13. Nøgletal'!C33</f>
        <v>147732.01186434322</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7361205.4603776801</v>
      </c>
      <c r="H23" s="14" t="s">
        <v>3</v>
      </c>
      <c r="I23" s="1"/>
    </row>
    <row r="24" spans="1:9" x14ac:dyDescent="0.25">
      <c r="A24" s="1"/>
      <c r="B24" s="104" t="s">
        <v>230</v>
      </c>
      <c r="C24" s="105"/>
      <c r="D24" s="105"/>
      <c r="E24" s="105"/>
      <c r="F24" s="106"/>
      <c r="G24" s="47">
        <v>88130.816852465738</v>
      </c>
      <c r="H24" s="14" t="s">
        <v>3</v>
      </c>
      <c r="I24" s="1"/>
    </row>
    <row r="25" spans="1:9" x14ac:dyDescent="0.25">
      <c r="A25" s="1"/>
      <c r="B25" s="101" t="s">
        <v>43</v>
      </c>
      <c r="C25" s="102"/>
      <c r="D25" s="102"/>
      <c r="E25" s="102"/>
      <c r="F25" s="103"/>
      <c r="G25" s="22">
        <f>(G23+G24)*'Fane 13. Nøgletal'!C33</f>
        <v>148986.7255446029</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7389413.8162161065</v>
      </c>
      <c r="H29" s="14" t="s">
        <v>3</v>
      </c>
      <c r="I29" s="1"/>
    </row>
    <row r="30" spans="1:9" x14ac:dyDescent="0.25">
      <c r="A30" s="1"/>
      <c r="B30" s="101" t="s">
        <v>231</v>
      </c>
      <c r="C30" s="102"/>
      <c r="D30" s="102"/>
      <c r="E30" s="102"/>
      <c r="F30" s="103"/>
      <c r="G30" s="47">
        <v>37350.952511039999</v>
      </c>
      <c r="H30" s="14" t="s">
        <v>3</v>
      </c>
      <c r="I30" s="1"/>
    </row>
    <row r="31" spans="1:9" x14ac:dyDescent="0.25">
      <c r="A31" s="1"/>
      <c r="B31" s="101" t="s">
        <v>115</v>
      </c>
      <c r="C31" s="102"/>
      <c r="D31" s="102"/>
      <c r="E31" s="102"/>
      <c r="F31" s="103"/>
      <c r="G31" s="22">
        <f>(G29+G30)*'Fane 13. Nøgletal'!C33</f>
        <v>148535.29537454291</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7367023.8729275055</v>
      </c>
      <c r="H35" s="14" t="s">
        <v>3</v>
      </c>
      <c r="I35" s="1"/>
    </row>
    <row r="36" spans="1:9" x14ac:dyDescent="0.25">
      <c r="A36" s="1"/>
      <c r="B36" s="101" t="s">
        <v>232</v>
      </c>
      <c r="C36" s="102"/>
      <c r="D36" s="102"/>
      <c r="E36" s="102"/>
      <c r="F36" s="103"/>
      <c r="G36" s="47">
        <v>882402.15245023009</v>
      </c>
      <c r="H36" s="14" t="s">
        <v>3</v>
      </c>
      <c r="I36" s="1"/>
    </row>
    <row r="37" spans="1:9" x14ac:dyDescent="0.25">
      <c r="A37" s="1"/>
      <c r="B37" s="101" t="s">
        <v>123</v>
      </c>
      <c r="C37" s="102"/>
      <c r="D37" s="102"/>
      <c r="E37" s="102"/>
      <c r="F37" s="103"/>
      <c r="G37" s="22">
        <f>(G35+G36)*'Fane 13. Nøgletal'!C33</f>
        <v>164988.52050755473</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8372243.4800435603</v>
      </c>
      <c r="H41" s="14" t="s">
        <v>3</v>
      </c>
      <c r="I41" s="1"/>
    </row>
    <row r="42" spans="1:9" x14ac:dyDescent="0.25">
      <c r="A42" s="1"/>
      <c r="B42" s="101" t="s">
        <v>156</v>
      </c>
      <c r="C42" s="102"/>
      <c r="D42" s="102"/>
      <c r="E42" s="102"/>
      <c r="F42" s="103"/>
      <c r="G42" s="22">
        <v>510550.23166272003</v>
      </c>
      <c r="H42" s="14" t="s">
        <v>3</v>
      </c>
      <c r="I42" s="1"/>
    </row>
    <row r="43" spans="1:9" x14ac:dyDescent="0.25">
      <c r="A43" s="1"/>
      <c r="B43" s="101" t="s">
        <v>166</v>
      </c>
      <c r="C43" s="102"/>
      <c r="D43" s="102"/>
      <c r="E43" s="102"/>
      <c r="F43" s="103"/>
      <c r="G43" s="22">
        <f>(G41+G42)*'Fane 13. Nøgletal'!C33</f>
        <v>177655.87423412563</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9015040.7444861643</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1150368.9962217598</v>
      </c>
      <c r="H48" s="14" t="s">
        <v>3</v>
      </c>
      <c r="I48" s="1"/>
    </row>
    <row r="49" spans="1:9" x14ac:dyDescent="0.25">
      <c r="A49" s="1"/>
      <c r="B49" s="101" t="s">
        <v>167</v>
      </c>
      <c r="C49" s="102"/>
      <c r="D49" s="102"/>
      <c r="E49" s="102"/>
      <c r="F49" s="103"/>
      <c r="G49" s="22">
        <f>G47*'Fane 13. Nøgletal'!C33+G48*'Fane 13. Nøgletal'!C33</f>
        <v>203308.19481415849</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10767039.350801982</v>
      </c>
      <c r="H53" s="14" t="s">
        <v>3</v>
      </c>
      <c r="I53" s="1"/>
    </row>
    <row r="54" spans="1:9" x14ac:dyDescent="0.25">
      <c r="A54" s="1"/>
      <c r="B54" s="101" t="s">
        <v>135</v>
      </c>
      <c r="C54" s="102"/>
      <c r="D54" s="102"/>
      <c r="E54" s="102"/>
      <c r="F54" s="103"/>
      <c r="G54" s="22">
        <f>(G53)*'Fane 13. Nøgletal'!C33</f>
        <v>215340.78701603966</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11404275.807739846</v>
      </c>
      <c r="H58" s="14" t="s">
        <v>3</v>
      </c>
      <c r="I58" s="1"/>
    </row>
    <row r="59" spans="1:9" x14ac:dyDescent="0.25">
      <c r="A59" s="1"/>
      <c r="B59" s="101" t="s">
        <v>146</v>
      </c>
      <c r="C59" s="102"/>
      <c r="D59" s="102"/>
      <c r="E59" s="102"/>
      <c r="F59" s="103"/>
      <c r="G59" s="22">
        <f>(G58)*'Fane 13. Nøgletal'!C33</f>
        <v>228085.51615479693</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12079226.467145121</v>
      </c>
      <c r="H63" s="14" t="s">
        <v>3</v>
      </c>
      <c r="I63" s="1"/>
    </row>
    <row r="64" spans="1:9" x14ac:dyDescent="0.25">
      <c r="A64" s="1"/>
      <c r="B64" s="101" t="s">
        <v>222</v>
      </c>
      <c r="C64" s="102"/>
      <c r="D64" s="102"/>
      <c r="E64" s="102"/>
      <c r="F64" s="103"/>
      <c r="G64" s="22">
        <f>(G63)*'Fane 13. Nøgletal'!C33</f>
        <v>241584.52934290242</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TYT+H1aNWWP2vLF/T2yVbE0KPqpAcFwWAfjXvfiB61z8mdiwDtk6E+V/IbX2EB+L0WgOBsW1RLXbz9jp//o1yQ==" saltValue="dY1LarF2zbD5kgTn0I2Ct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8223612</v>
      </c>
      <c r="H5" s="14" t="s">
        <v>3</v>
      </c>
      <c r="I5" s="1"/>
    </row>
    <row r="6" spans="1:9" x14ac:dyDescent="0.25">
      <c r="A6" s="1"/>
      <c r="B6" s="101" t="s">
        <v>49</v>
      </c>
      <c r="C6" s="102"/>
      <c r="D6" s="102"/>
      <c r="E6" s="102"/>
      <c r="F6" s="103"/>
      <c r="G6" s="22">
        <f>G5*'Fane 13. Nøgletal'!C21</f>
        <v>74834.869200000001</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8252266.60036116</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75095.62606328656</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8315365.1637635073</v>
      </c>
      <c r="H16" s="14" t="s">
        <v>3</v>
      </c>
      <c r="I16" s="1"/>
    </row>
    <row r="17" spans="1:9" x14ac:dyDescent="0.25">
      <c r="A17" s="1"/>
      <c r="B17" s="101" t="s">
        <v>101</v>
      </c>
      <c r="C17" s="102"/>
      <c r="D17" s="102"/>
      <c r="E17" s="102"/>
      <c r="F17" s="103"/>
      <c r="G17" s="47">
        <v>71285.390610433227</v>
      </c>
      <c r="H17" s="14" t="s">
        <v>3</v>
      </c>
      <c r="I17" s="1"/>
    </row>
    <row r="18" spans="1:9" x14ac:dyDescent="0.25">
      <c r="A18" s="1"/>
      <c r="B18" s="104" t="s">
        <v>58</v>
      </c>
      <c r="C18" s="105"/>
      <c r="D18" s="105"/>
      <c r="E18" s="105"/>
      <c r="F18" s="106"/>
      <c r="G18" s="47">
        <v>0</v>
      </c>
      <c r="H18" s="14" t="s">
        <v>3</v>
      </c>
      <c r="I18" s="1"/>
    </row>
    <row r="19" spans="1:9" x14ac:dyDescent="0.25">
      <c r="A19" s="1"/>
      <c r="B19" s="101" t="s">
        <v>59</v>
      </c>
      <c r="C19" s="102"/>
      <c r="D19" s="102"/>
      <c r="E19" s="102"/>
      <c r="F19" s="103"/>
      <c r="G19" s="22">
        <f>(G16+G17+G18)*'Fane 13. Nøgletal'!C23</f>
        <v>72963.859823053281</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8454187.9996887967</v>
      </c>
      <c r="H23" s="14" t="s">
        <v>3</v>
      </c>
      <c r="I23" s="1"/>
    </row>
    <row r="24" spans="1:9" x14ac:dyDescent="0.25">
      <c r="A24" s="1"/>
      <c r="B24" s="104" t="s">
        <v>62</v>
      </c>
      <c r="C24" s="105"/>
      <c r="D24" s="105"/>
      <c r="E24" s="105"/>
      <c r="F24" s="106"/>
      <c r="G24" s="47">
        <v>22230.669364200003</v>
      </c>
      <c r="H24" s="14" t="s">
        <v>3</v>
      </c>
      <c r="I24" s="1"/>
    </row>
    <row r="25" spans="1:9" x14ac:dyDescent="0.25">
      <c r="A25" s="1"/>
      <c r="B25" s="101" t="s">
        <v>63</v>
      </c>
      <c r="C25" s="102"/>
      <c r="D25" s="102"/>
      <c r="E25" s="102"/>
      <c r="F25" s="103"/>
      <c r="G25" s="22">
        <f>G23*'Fane 13. Nøgletal'!C23+G24*'Fane 13. Nøgletal'!C24</f>
        <v>74182.786607235801</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8504743.1602116004</v>
      </c>
      <c r="H29" s="14" t="s">
        <v>3</v>
      </c>
      <c r="I29" s="1"/>
    </row>
    <row r="30" spans="1:9" x14ac:dyDescent="0.25">
      <c r="A30" s="1"/>
      <c r="B30" s="101" t="s">
        <v>113</v>
      </c>
      <c r="C30" s="102"/>
      <c r="D30" s="102"/>
      <c r="E30" s="102"/>
      <c r="F30" s="103"/>
      <c r="G30" s="47">
        <v>55305.146383199994</v>
      </c>
      <c r="H30" s="14" t="s">
        <v>3</v>
      </c>
      <c r="I30" s="1"/>
    </row>
    <row r="31" spans="1:9" x14ac:dyDescent="0.25">
      <c r="A31" s="1"/>
      <c r="B31" s="101" t="s">
        <v>120</v>
      </c>
      <c r="C31" s="102"/>
      <c r="D31" s="102"/>
      <c r="E31" s="102"/>
      <c r="F31" s="103"/>
      <c r="G31" s="22">
        <f>(G29+G30)*'Fane 13. Nøgletal'!C25</f>
        <v>235401.32843135702</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8426207.671297038</v>
      </c>
      <c r="H35" s="14" t="s">
        <v>3</v>
      </c>
      <c r="I35" s="1"/>
    </row>
    <row r="36" spans="1:9" x14ac:dyDescent="0.25">
      <c r="A36" s="1"/>
      <c r="B36" s="101" t="s">
        <v>129</v>
      </c>
      <c r="C36" s="102"/>
      <c r="D36" s="102"/>
      <c r="E36" s="102"/>
      <c r="F36" s="103"/>
      <c r="G36" s="22">
        <v>491398.77090414858</v>
      </c>
      <c r="H36" s="14" t="s">
        <v>3</v>
      </c>
      <c r="I36" s="1"/>
    </row>
    <row r="37" spans="1:9" x14ac:dyDescent="0.25">
      <c r="A37" s="1"/>
      <c r="B37" s="101" t="s">
        <v>125</v>
      </c>
      <c r="C37" s="102"/>
      <c r="D37" s="102"/>
      <c r="E37" s="102"/>
      <c r="F37" s="103"/>
      <c r="G37" s="22">
        <f>G35*'Fane 13. Nøgletal'!C25+G36*'Fane 13. Nøgletal'!C26</f>
        <v>238993.41277004994</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8987571.6532788854</v>
      </c>
      <c r="H41" s="14" t="s">
        <v>3</v>
      </c>
      <c r="I41" s="1"/>
    </row>
    <row r="42" spans="1:9" x14ac:dyDescent="0.25">
      <c r="A42" s="1"/>
      <c r="B42" s="101" t="s">
        <v>169</v>
      </c>
      <c r="C42" s="102"/>
      <c r="D42" s="102"/>
      <c r="E42" s="102"/>
      <c r="F42" s="103"/>
      <c r="G42" s="9">
        <v>604858.72143168002</v>
      </c>
      <c r="H42" s="14" t="s">
        <v>3</v>
      </c>
      <c r="I42" s="1"/>
    </row>
    <row r="43" spans="1:9" x14ac:dyDescent="0.25">
      <c r="A43" s="1"/>
      <c r="B43" s="101" t="s">
        <v>65</v>
      </c>
      <c r="C43" s="102"/>
      <c r="D43" s="102"/>
      <c r="E43" s="102"/>
      <c r="F43" s="103"/>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9933920.8960502632</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204784.63187840002</v>
      </c>
      <c r="H48" s="14" t="s">
        <v>3</v>
      </c>
      <c r="I48" s="1"/>
    </row>
    <row r="49" spans="1:9" x14ac:dyDescent="0.25">
      <c r="A49" s="1"/>
      <c r="B49" s="101" t="s">
        <v>211</v>
      </c>
      <c r="C49" s="102"/>
      <c r="D49" s="102"/>
      <c r="E49" s="102"/>
      <c r="F49" s="103"/>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10957912.934585299</v>
      </c>
      <c r="H53" s="14" t="s">
        <v>3</v>
      </c>
      <c r="I53" s="1"/>
    </row>
    <row r="54" spans="1:9" x14ac:dyDescent="0.25">
      <c r="A54" s="1"/>
      <c r="B54" s="101" t="s">
        <v>132</v>
      </c>
      <c r="C54" s="102"/>
      <c r="D54" s="102"/>
      <c r="E54" s="102"/>
      <c r="F54" s="103"/>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11843312.299699791</v>
      </c>
      <c r="H58" s="14" t="s">
        <v>3</v>
      </c>
      <c r="I58" s="1"/>
    </row>
    <row r="59" spans="1:9" x14ac:dyDescent="0.25">
      <c r="A59" s="1"/>
      <c r="B59" s="101" t="s">
        <v>149</v>
      </c>
      <c r="C59" s="102"/>
      <c r="D59" s="102"/>
      <c r="E59" s="102"/>
      <c r="F59" s="103"/>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12800251.933515534</v>
      </c>
      <c r="H63" s="14" t="s">
        <v>3</v>
      </c>
      <c r="I63" s="1"/>
    </row>
    <row r="64" spans="1:9" x14ac:dyDescent="0.25">
      <c r="A64" s="1"/>
      <c r="B64" s="101" t="s">
        <v>225</v>
      </c>
      <c r="C64" s="102"/>
      <c r="D64" s="102"/>
      <c r="E64" s="102"/>
      <c r="F64" s="103"/>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W82huG5HlhtmB6qkdL6H6RtNUDILmMLRFxhiU8KSDUzeUzrs5Zd3H2YYVCC/GEESotdA2EECHs+ywrSaHIpHkQ==" saltValue="EKOFEh7tSNroPUx5yziPuQ=="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8" t="s">
        <v>150</v>
      </c>
      <c r="C9" s="69"/>
      <c r="D9" s="69"/>
      <c r="E9" s="69"/>
      <c r="F9" s="70"/>
      <c r="G9" s="63">
        <v>1.9002909569984709E-3</v>
      </c>
      <c r="H9" s="1"/>
    </row>
    <row r="10" spans="1:8" x14ac:dyDescent="0.25">
      <c r="A10" s="1"/>
      <c r="B10" s="51"/>
      <c r="C10" s="52"/>
      <c r="D10" s="52"/>
      <c r="E10" s="52"/>
      <c r="F10" s="52"/>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AyQeRXZlarTDci/pw1TBoLn273QkYEYcVR7b8MxxCKTq5ZIp09YP8ecPcPLwqA5o4M0PNuyWCK0tUMw4qGhHZA==" saltValue="P03/wsdi3ACL5KLflai9rA=="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Jacob Morsbøl</cp:lastModifiedBy>
  <cp:lastPrinted>2016-06-14T12:57:30Z</cp:lastPrinted>
  <dcterms:created xsi:type="dcterms:W3CDTF">2016-06-02T08:51:18Z</dcterms:created>
  <dcterms:modified xsi:type="dcterms:W3CDTF">2024-05-28T12:17:26Z</dcterms:modified>
</cp:coreProperties>
</file>