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Kalundborg Vandforsyning AS (V112)\ØR2024\"/>
    </mc:Choice>
  </mc:AlternateContent>
  <xr:revisionPtr revIDLastSave="0" documentId="13_ncr:1_{2B6A4CC1-F8DB-4F74-8A12-D41514E1DDCE}"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3"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E23" i="43" l="1"/>
  <c r="E31" i="43" s="1"/>
  <c r="E33" i="43" s="1"/>
  <c r="E27" i="43" l="1"/>
  <c r="C29" i="2"/>
  <c r="C17" i="22" l="1"/>
  <c r="C17" i="15"/>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C18" i="2"/>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<sst xmlns="http://schemas.openxmlformats.org/spreadsheetml/2006/main" count="555" uniqueCount="268">
  <si>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</si>
  <si>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</si>
  <si>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</si>
  <si>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</si>
  <si>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</si>
  <si>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</si>
  <si>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</si>
  <si>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</si>
  <si>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</si>
  <si>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</si>
  <si>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</si>
  <si>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</si>
  <si>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</si>
  <si>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</si>
  <si>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</si>
  <si>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</si>
  <si>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</si>
  <si>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</si>
  <si>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</si>
  <si>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</si>
  <si>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</si>
  <si>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</si>
  <si>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</si>
  <si>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</si>
  <si>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</si>
  <si>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</si>
  <si>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</si>
  <si>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</si>
  <si>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</si>
  <si>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</si>
  <si>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</si>
  <si>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</si>
  <si>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</si>
  <si>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</si>
  <si>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</si>
  <si>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</si>
  <si>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</si>
  <si>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</si>
  <si>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</si>
  <si>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</si>
  <si>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</si>
  <si>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</si>
  <si>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</si>
  <si>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</si>
  <si>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</si>
  <si>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</si>
  <si>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</si>
  <si>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</si>
  <si>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</si>
  <si>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</si>
  <si>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</si>
  <si>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</si>
  <si>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</si>
  <si>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</si>
  <si>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</si>
  <si>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</si>
  <si>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</si>
  <si>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</si>
  <si>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</si>
  <si>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</si>
  <si>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</si>
  <si>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</si>
  <si>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</si>
  <si>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</si>
  <si>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</si>
  <si>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</si>
  <si>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</si>
  <si>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</si>
  <si>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</si>
  <si>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</si>
  <si>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</si>
  <si>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</si>
  <si>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</si>
  <si>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</si>
  <si>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</si>
  <si>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</si>
  <si>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</si>
  <si>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</si>
  <si>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</si>
  <si>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</si>
  <si>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</si>
  <si>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</si>
  <si>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</si>
  <si>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</si>
  <si>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</si>
  <si>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</si>
  <si>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</si>
  <si>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</si>
  <si>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</si>
  <si>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</si>
  <si>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</si>
  <si>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</si>
  <si>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</si>
  <si>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</si>
  <si>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</si>
  <si>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</si>
  <si>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</si>
  <si>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</si>
  <si>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</si>
  <si>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</si>
  <si>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</si>
  <si>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</si>
  <si>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</si>
  <si>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</si>
  <si>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</si>
  <si>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</si>
  <si>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</si>
  <si>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</si>
  <si>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</si>
  <si>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</si>
  <si>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</si>
  <si>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</si>
  <si>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</si>
  <si>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</si>
  <si>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</si>
  <si>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</si>
  <si>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</si>
  <si>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</si>
  <si>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</si>
  <si>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</si>
  <si>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</si>
  <si>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</si>
  <si>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</si>
  <si>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</si>
  <si>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</si>
  <si>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</si>
  <si>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</si>
  <si>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</si>
  <si>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</si>
  <si>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</si>
  <si>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</si>
  <si>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</si>
  <si>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</si>
  <si>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</si>
  <si>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</si>
  <si>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</si>
  <si>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</si>
  <si>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</si>
  <si>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</si>
  <si>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</si>
  <si>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</si>
  <si>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</si>
  <si>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</si>
  <si>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</si>
  <si>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</si>
  <si>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</si>
  <si>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</si>
  <si>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</si>
  <si>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</si>
  <si>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</si>
  <si>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</si>
  <si>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</si>
  <si>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</si>
  <si>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</si>
  <si>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</si>
  <si>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</si>
  <si>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</si>
  <si>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</si>
  <si>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</si>
  <si>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</si>
  <si>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</si>
  <si>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</si>
  <si>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</si>
  <si>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</si>
  <si>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</si>
  <si>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</si>
  <si>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</si>
  <si>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</si>
  <si>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</si>
  <si>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</si>
  <si>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</si>
  <si>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</si>
  <si>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</si>
  <si>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</si>
  <si>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</si>
  <si>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</si>
  <si>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</si>
  <si>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</si>
  <si>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</si>
  <si>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</si>
  <si>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</si>
  <si>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</si>
  <si>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</si>
  <si>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</si>
  <si>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</si>
  <si>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</si>
  <si>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</si>
  <si>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</si>
  <si>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</si>
  <si>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</si>
  <si>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</si>
  <si>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</si>
  <si>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</si>
  <si>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</si>
  <si>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</si>
  <si>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</si>
  <si>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</si>
  <si>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</si>
  <si>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</si>
  <si>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</si>
  <si>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</si>
  <si>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</si>
  <si>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</si>
  <si>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</si>
  <si>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</si>
  <si>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</si>
  <si>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</si>
  <si>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</si>
  <si>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</si>
  <si>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</si>
  <si>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</si>
  <si>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</si>
  <si>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</si>
  <si>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</si>
  <si>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</si>
  <si>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</si>
  <si>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</si>
  <si>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</si>
  <si>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</si>
  <si>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</si>
  <si>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</si>
  <si>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</si>
  <si>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</si>
  <si>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</si>
  <si>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</si>
  <si>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</si>
  <si>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</si>
  <si>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</si>
  <si>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</si>
  <si>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</si>
  <si>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</si>
  <si>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</si>
  <si>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</si>
  <si>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</si>
  <si>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</si>
  <si>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</si>
  <si>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</si>
  <si>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</si>
  <si>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</si>
  <si>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</si>
  <si>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</si>
  <si>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</si>
  <si>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</si>
  <si>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</si>
  <si>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</si>
  <si>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Køb af ydelser og produkter fra andre vandselskaber</t>
  </si>
  <si>
    <t>Ejendomsskat</t>
  </si>
  <si>
    <t>Tjenestemandspensioner</t>
  </si>
  <si>
    <t>Erstatninger</t>
  </si>
  <si>
    <t>Øvrige afgifter - Tinglysningsafgift</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</si>
  <si>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</si>
  <si>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</si>
  <si>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</si>
  <si>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</si>
  <si>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</si>
  <si>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</si>
  <si>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</si>
  <si>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</si>
  <si>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</si>
  <si>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</si>
  <si>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</si>
  <si>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</si>
  <si>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</si>
  <si>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Nye stik</t>
  </si>
  <si>
    <t>Øget produktion</t>
  </si>
  <si>
    <t>Ingen engangstillæg</t>
  </si>
  <si>
    <t>Ansøgning ISO Certificering - fælles</t>
  </si>
  <si>
    <t>ISO 22000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</si>
</sst>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1" t="s">
        <v>4</v>
      </c>
      <c r="E6" s="91"/>
      <c r="F6" s="91"/>
      <c r="G6" s="91"/>
      <c r="H6" s="3"/>
      <c r="I6" s="1"/>
    </row>
    <row r="7" spans="1:9" ht="15" customHeight="1" x14ac:dyDescent="0.25">
      <c r="A7" s="1"/>
      <c r="B7" s="1"/>
      <c r="C7" s="3"/>
      <c r="D7" s="91"/>
      <c r="E7" s="91"/>
      <c r="F7" s="91"/>
      <c r="G7" s="91"/>
      <c r="H7" s="3"/>
      <c r="I7" s="1"/>
    </row>
    <row r="8" spans="1:9" ht="15.75" x14ac:dyDescent="0.25">
      <c r="A8" s="1"/>
      <c r="B8" s="1"/>
      <c r="C8" s="4"/>
      <c r="D8" s="93" t="s">
        <v>235</v>
      </c>
      <c r="E8" s="93"/>
      <c r="F8" s="93"/>
      <c r="G8" s="93"/>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2" t="s">
        <v>5</v>
      </c>
      <c r="E11" s="92"/>
      <c r="F11" s="92"/>
      <c r="G11" s="92"/>
      <c r="H11" s="5"/>
      <c r="I11" s="1"/>
    </row>
    <row r="12" spans="1:9" x14ac:dyDescent="0.25">
      <c r="A12" s="1"/>
      <c r="B12" s="1"/>
      <c r="C12" s="1"/>
      <c r="D12" s="1"/>
      <c r="E12" s="1"/>
      <c r="F12" s="1"/>
      <c r="G12" s="1"/>
      <c r="H12" s="1"/>
      <c r="I12" s="1"/>
    </row>
    <row r="13" spans="1:9" x14ac:dyDescent="0.25">
      <c r="A13" s="1"/>
      <c r="B13" s="1"/>
      <c r="C13" s="6" t="s">
        <v>6</v>
      </c>
      <c r="D13" s="88" t="s">
        <v>162</v>
      </c>
      <c r="E13" s="89"/>
      <c r="F13" s="89"/>
      <c r="G13" s="90"/>
      <c r="H13" s="1"/>
      <c r="I13" s="1"/>
    </row>
    <row r="14" spans="1:9" x14ac:dyDescent="0.25">
      <c r="A14" s="1"/>
      <c r="B14" s="1"/>
      <c r="C14" s="6" t="s">
        <v>14</v>
      </c>
      <c r="D14" s="88" t="s">
        <v>197</v>
      </c>
      <c r="E14" s="89"/>
      <c r="F14" s="89"/>
      <c r="G14" s="90"/>
      <c r="H14" s="1"/>
      <c r="I14" s="1"/>
    </row>
    <row r="15" spans="1:9" x14ac:dyDescent="0.25">
      <c r="A15" s="1"/>
      <c r="B15" s="1"/>
      <c r="C15" s="6" t="s">
        <v>30</v>
      </c>
      <c r="D15" s="88" t="s">
        <v>141</v>
      </c>
      <c r="E15" s="89"/>
      <c r="F15" s="89"/>
      <c r="G15" s="90"/>
      <c r="H15" s="1"/>
      <c r="I15" s="1"/>
    </row>
    <row r="16" spans="1:9" x14ac:dyDescent="0.25">
      <c r="A16" s="1"/>
      <c r="B16" s="1"/>
      <c r="C16" s="6" t="s">
        <v>31</v>
      </c>
      <c r="D16" s="88" t="s">
        <v>194</v>
      </c>
      <c r="E16" s="89"/>
      <c r="F16" s="89"/>
      <c r="G16" s="90"/>
      <c r="H16" s="1"/>
      <c r="I16" s="1"/>
    </row>
    <row r="17" spans="1:9" x14ac:dyDescent="0.25">
      <c r="A17" s="1"/>
      <c r="B17" s="1"/>
      <c r="C17" s="6" t="s">
        <v>102</v>
      </c>
      <c r="D17" s="88" t="s">
        <v>195</v>
      </c>
      <c r="E17" s="89"/>
      <c r="F17" s="89"/>
      <c r="G17" s="90"/>
      <c r="H17" s="1"/>
      <c r="I17" s="1"/>
    </row>
    <row r="18" spans="1:9" x14ac:dyDescent="0.25">
      <c r="A18" s="1"/>
      <c r="B18" s="1"/>
      <c r="C18" s="6" t="s">
        <v>86</v>
      </c>
      <c r="D18" s="94" t="s">
        <v>79</v>
      </c>
      <c r="E18" s="95"/>
      <c r="F18" s="95"/>
      <c r="G18" s="96"/>
      <c r="H18" s="1"/>
      <c r="I18" s="1"/>
    </row>
    <row r="19" spans="1:9" x14ac:dyDescent="0.25">
      <c r="A19" s="1"/>
      <c r="B19" s="1"/>
      <c r="C19" s="6" t="s">
        <v>87</v>
      </c>
      <c r="D19" s="94" t="s">
        <v>80</v>
      </c>
      <c r="E19" s="95"/>
      <c r="F19" s="95"/>
      <c r="G19" s="96"/>
      <c r="H19" s="1"/>
      <c r="I19" s="1"/>
    </row>
    <row r="20" spans="1:9" x14ac:dyDescent="0.25">
      <c r="A20" s="1"/>
      <c r="B20" s="1"/>
      <c r="C20" s="6" t="s">
        <v>7</v>
      </c>
      <c r="D20" s="94" t="s">
        <v>9</v>
      </c>
      <c r="E20" s="95"/>
      <c r="F20" s="95"/>
      <c r="G20" s="96"/>
      <c r="H20" s="1"/>
      <c r="I20" s="1"/>
    </row>
    <row r="21" spans="1:9" x14ac:dyDescent="0.25">
      <c r="A21" s="1"/>
      <c r="B21" s="1"/>
      <c r="C21" s="6" t="s">
        <v>88</v>
      </c>
      <c r="D21" s="85" t="s">
        <v>11</v>
      </c>
      <c r="E21" s="86"/>
      <c r="F21" s="86"/>
      <c r="G21" s="87"/>
      <c r="H21" s="1"/>
      <c r="I21" s="1"/>
    </row>
    <row r="22" spans="1:9" x14ac:dyDescent="0.25">
      <c r="A22" s="1"/>
      <c r="B22" s="1"/>
      <c r="C22" s="6" t="s">
        <v>73</v>
      </c>
      <c r="D22" s="79" t="s">
        <v>196</v>
      </c>
      <c r="E22" s="80"/>
      <c r="F22" s="80"/>
      <c r="G22" s="81"/>
      <c r="H22" s="1"/>
      <c r="I22" s="1"/>
    </row>
    <row r="23" spans="1:9" x14ac:dyDescent="0.25">
      <c r="A23" s="1"/>
      <c r="B23" s="1"/>
      <c r="C23" s="6" t="s">
        <v>8</v>
      </c>
      <c r="D23" s="79" t="s">
        <v>176</v>
      </c>
      <c r="E23" s="80"/>
      <c r="F23" s="80"/>
      <c r="G23" s="81"/>
      <c r="H23" s="1"/>
      <c r="I23" s="1"/>
    </row>
    <row r="24" spans="1:9" x14ac:dyDescent="0.25">
      <c r="A24" s="1"/>
      <c r="B24" s="1"/>
      <c r="C24" s="6" t="s">
        <v>172</v>
      </c>
      <c r="D24" s="79" t="s">
        <v>163</v>
      </c>
      <c r="E24" s="80"/>
      <c r="F24" s="80"/>
      <c r="G24" s="81"/>
      <c r="H24" s="1"/>
      <c r="I24" s="1"/>
    </row>
    <row r="25" spans="1:9" x14ac:dyDescent="0.25">
      <c r="A25" s="1"/>
      <c r="B25" s="1"/>
      <c r="C25" s="6" t="s">
        <v>173</v>
      </c>
      <c r="D25" s="79" t="s">
        <v>74</v>
      </c>
      <c r="E25" s="80"/>
      <c r="F25" s="80"/>
      <c r="G25" s="81"/>
      <c r="H25" s="1"/>
      <c r="I25" s="1"/>
    </row>
    <row r="26" spans="1:9" x14ac:dyDescent="0.25">
      <c r="A26" s="1"/>
      <c r="B26" s="1"/>
      <c r="C26" s="6" t="s">
        <v>174</v>
      </c>
      <c r="D26" s="79" t="s">
        <v>75</v>
      </c>
      <c r="E26" s="80"/>
      <c r="F26" s="80"/>
      <c r="G26" s="81"/>
      <c r="H26" s="1"/>
      <c r="I26" s="1"/>
    </row>
    <row r="27" spans="1:9" x14ac:dyDescent="0.25">
      <c r="A27" s="1"/>
      <c r="B27" s="1"/>
      <c r="C27" s="6" t="s">
        <v>89</v>
      </c>
      <c r="D27" s="79" t="s">
        <v>103</v>
      </c>
      <c r="E27" s="80"/>
      <c r="F27" s="80"/>
      <c r="G27" s="81"/>
      <c r="H27" s="1"/>
      <c r="I27" s="1"/>
    </row>
    <row r="28" spans="1:9" x14ac:dyDescent="0.25">
      <c r="A28" s="1"/>
      <c r="B28" s="1"/>
      <c r="C28" s="6" t="s">
        <v>83</v>
      </c>
      <c r="D28" s="79" t="s">
        <v>32</v>
      </c>
      <c r="E28" s="80"/>
      <c r="F28" s="80"/>
      <c r="G28" s="81"/>
      <c r="H28" s="1"/>
      <c r="I28" s="1"/>
    </row>
    <row r="29" spans="1:9" x14ac:dyDescent="0.25">
      <c r="A29" s="1"/>
      <c r="B29" s="1"/>
      <c r="C29" s="6" t="s">
        <v>175</v>
      </c>
      <c r="D29" s="82" t="s">
        <v>84</v>
      </c>
      <c r="E29" s="83"/>
      <c r="F29" s="83"/>
      <c r="G29" s="8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5VXxNXGQshea/fjnA1rEX24yeMg8K38r6GzWEXRsG7vgre4J3eC7uBzYwbf9nq+VsYF5hylGl7nlUDTYQc6hfw==" saltValue="dgwW3nyzQbNv7KAs4mGmGw=="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7" t="s">
        <v>92</v>
      </c>
      <c r="C3" s="97"/>
      <c r="D3" s="97"/>
      <c r="E3" s="1"/>
      <c r="F3" s="1"/>
    </row>
    <row r="4" spans="1:6" ht="15" customHeight="1" x14ac:dyDescent="0.25">
      <c r="A4" s="1"/>
      <c r="B4" s="97"/>
      <c r="C4" s="97"/>
      <c r="D4" s="9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1" t="s">
        <v>226</v>
      </c>
      <c r="C8" s="102"/>
      <c r="D8" s="103"/>
      <c r="E8" s="1"/>
      <c r="F8" s="1"/>
    </row>
    <row r="9" spans="1:6" ht="15" customHeight="1" x14ac:dyDescent="0.25">
      <c r="A9" s="1"/>
      <c r="B9" s="32" t="s">
        <v>28</v>
      </c>
      <c r="C9" s="11" t="s">
        <v>212</v>
      </c>
      <c r="D9" s="11"/>
      <c r="E9" s="1"/>
      <c r="F9" s="1"/>
    </row>
    <row r="10" spans="1:6" ht="15" customHeight="1" x14ac:dyDescent="0.25">
      <c r="A10" s="1"/>
      <c r="B10" s="68" t="s">
        <v>243</v>
      </c>
      <c r="C10" s="9">
        <v>22190905</v>
      </c>
      <c r="D10" s="14" t="s">
        <v>3</v>
      </c>
      <c r="E10" s="1"/>
      <c r="F10" s="1"/>
    </row>
    <row r="11" spans="1:6" x14ac:dyDescent="0.25">
      <c r="A11" s="1"/>
      <c r="B11" s="68" t="s">
        <v>244</v>
      </c>
      <c r="C11" s="9">
        <v>136636</v>
      </c>
      <c r="D11" s="14" t="s">
        <v>3</v>
      </c>
      <c r="E11" s="1"/>
      <c r="F11" s="1"/>
    </row>
    <row r="12" spans="1:6" x14ac:dyDescent="0.25">
      <c r="A12" s="1"/>
      <c r="B12" s="68" t="s">
        <v>245</v>
      </c>
      <c r="C12" s="9">
        <v>10012788</v>
      </c>
      <c r="D12" s="14" t="s">
        <v>3</v>
      </c>
      <c r="E12" s="1"/>
      <c r="F12" s="1"/>
    </row>
    <row r="13" spans="1:6" x14ac:dyDescent="0.25">
      <c r="A13" s="1"/>
      <c r="B13" s="68" t="s">
        <v>246</v>
      </c>
      <c r="C13" s="9">
        <v>57987</v>
      </c>
      <c r="D13" s="14" t="s">
        <v>3</v>
      </c>
      <c r="E13" s="1"/>
      <c r="F13" s="1"/>
    </row>
    <row r="14" spans="1:6" x14ac:dyDescent="0.25">
      <c r="A14" s="1"/>
      <c r="B14" s="68" t="s">
        <v>247</v>
      </c>
      <c r="C14" s="9">
        <v>90036</v>
      </c>
      <c r="D14" s="14" t="s">
        <v>3</v>
      </c>
      <c r="E14" s="1"/>
      <c r="F14" s="1"/>
    </row>
    <row r="15" spans="1:6" x14ac:dyDescent="0.25">
      <c r="A15" s="1"/>
      <c r="B15" s="68" t="s">
        <v>248</v>
      </c>
      <c r="C15" s="9">
        <v>134133</v>
      </c>
      <c r="D15" s="14" t="s">
        <v>3</v>
      </c>
      <c r="E15" s="1"/>
      <c r="F15" s="1"/>
    </row>
    <row r="16" spans="1:6" x14ac:dyDescent="0.25">
      <c r="A16" s="1"/>
      <c r="B16" s="68" t="s">
        <v>249</v>
      </c>
      <c r="C16" s="9">
        <v>1750</v>
      </c>
      <c r="D16" s="14" t="s">
        <v>3</v>
      </c>
      <c r="E16" s="1"/>
      <c r="F16" s="1"/>
    </row>
    <row r="17" spans="1:6" x14ac:dyDescent="0.25">
      <c r="A17" s="1"/>
      <c r="B17" s="68"/>
      <c r="C17" s="9"/>
      <c r="D17" s="14" t="s">
        <v>3</v>
      </c>
      <c r="E17" s="1"/>
      <c r="F17" s="1"/>
    </row>
    <row r="18" spans="1:6" x14ac:dyDescent="0.25">
      <c r="A18" s="1"/>
      <c r="B18" s="68"/>
      <c r="C18" s="9"/>
      <c r="D18" s="14" t="s">
        <v>3</v>
      </c>
      <c r="E18" s="1"/>
      <c r="F18" s="1"/>
    </row>
    <row r="19" spans="1:6" x14ac:dyDescent="0.25">
      <c r="A19" s="1"/>
      <c r="B19" s="52" t="s">
        <v>213</v>
      </c>
      <c r="C19" s="12">
        <f>SUM(C10:C18)</f>
        <v>32624235</v>
      </c>
      <c r="D19" s="13" t="s">
        <v>3</v>
      </c>
      <c r="E19" s="1"/>
      <c r="F19" s="1"/>
    </row>
    <row r="20" spans="1:6" x14ac:dyDescent="0.25">
      <c r="A20" s="1"/>
      <c r="B20" s="52" t="s">
        <v>214</v>
      </c>
      <c r="C20" s="12">
        <f>C19*(1+'Fane 13. Nøgletal'!C16)^2</f>
        <v>38109303.261590399</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1ynOFdmlYR/eAXgBRD7wLt/YMzIn12rOqD9xBhoxpnmD/qE9I5PSFF/s9FTupHhfrwVaOoZ4g/8KXML15qG3kg==" saltValue="SAZMcMKQusVY3KvnMRG58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D14EE-058F-4335-857B-6CC5AF6A39DE}">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0" t="s">
        <v>227</v>
      </c>
      <c r="C3" s="100"/>
      <c r="D3" s="100"/>
      <c r="E3" s="100"/>
      <c r="F3" s="100"/>
      <c r="G3" s="1"/>
    </row>
    <row r="4" spans="1:7" ht="15" customHeight="1" x14ac:dyDescent="0.25">
      <c r="A4" s="1"/>
      <c r="B4" s="100"/>
      <c r="C4" s="100"/>
      <c r="D4" s="100"/>
      <c r="E4" s="100"/>
      <c r="F4" s="100"/>
      <c r="G4" s="1"/>
    </row>
    <row r="5" spans="1:7" ht="15" customHeight="1" x14ac:dyDescent="0.25">
      <c r="A5" s="1"/>
      <c r="B5" s="64"/>
      <c r="C5" s="64"/>
      <c r="D5" s="64"/>
      <c r="E5" s="64"/>
      <c r="F5" s="64"/>
      <c r="G5" s="1"/>
    </row>
    <row r="6" spans="1:7" ht="15" customHeight="1" x14ac:dyDescent="0.25">
      <c r="A6" s="1"/>
      <c r="B6" s="1"/>
      <c r="C6" s="59"/>
      <c r="D6" s="60"/>
      <c r="E6" s="64"/>
      <c r="F6" s="64"/>
      <c r="G6" s="1"/>
    </row>
    <row r="7" spans="1:7" x14ac:dyDescent="0.25">
      <c r="A7" s="1"/>
      <c r="B7" s="1"/>
      <c r="C7" s="1"/>
      <c r="D7" s="1"/>
      <c r="E7" s="61"/>
      <c r="F7" s="1"/>
      <c r="G7" s="1"/>
    </row>
    <row r="8" spans="1:7" x14ac:dyDescent="0.25">
      <c r="A8" s="1"/>
      <c r="B8" s="101" t="s">
        <v>250</v>
      </c>
      <c r="C8" s="102"/>
      <c r="D8" s="102"/>
      <c r="E8" s="102"/>
      <c r="F8" s="103"/>
      <c r="G8" s="1"/>
    </row>
    <row r="9" spans="1:7" x14ac:dyDescent="0.25">
      <c r="A9" s="1"/>
      <c r="B9" s="104" t="s">
        <v>251</v>
      </c>
      <c r="C9" s="105"/>
      <c r="D9" s="106"/>
      <c r="E9" s="28">
        <v>-890614</v>
      </c>
      <c r="F9" s="14" t="s">
        <v>3</v>
      </c>
      <c r="G9" s="1"/>
    </row>
    <row r="10" spans="1:7" x14ac:dyDescent="0.25">
      <c r="A10" s="1"/>
      <c r="B10" s="52"/>
      <c r="C10" s="53"/>
      <c r="D10" s="53"/>
      <c r="E10" s="53"/>
      <c r="F10" s="19"/>
      <c r="G10" s="1"/>
    </row>
    <row r="11" spans="1:7" ht="53.25" customHeight="1" x14ac:dyDescent="0.25">
      <c r="A11" s="1"/>
      <c r="B11" s="119" t="s">
        <v>252</v>
      </c>
      <c r="C11" s="120"/>
      <c r="D11" s="120"/>
      <c r="E11" s="120"/>
      <c r="F11" s="121"/>
      <c r="G11" s="1"/>
    </row>
    <row r="12" spans="1:7" x14ac:dyDescent="0.25">
      <c r="A12" s="1"/>
      <c r="B12" s="1"/>
      <c r="C12" s="1"/>
      <c r="D12" s="1"/>
      <c r="E12" s="1"/>
      <c r="F12" s="1"/>
      <c r="G12" s="1"/>
    </row>
    <row r="13" spans="1:7" x14ac:dyDescent="0.25">
      <c r="A13" s="1"/>
      <c r="B13" s="101" t="s">
        <v>140</v>
      </c>
      <c r="C13" s="102"/>
      <c r="D13" s="102"/>
      <c r="E13" s="102"/>
      <c r="F13" s="103"/>
      <c r="G13" s="1"/>
    </row>
    <row r="14" spans="1:7" x14ac:dyDescent="0.25">
      <c r="A14" s="1"/>
      <c r="B14" s="104" t="s">
        <v>253</v>
      </c>
      <c r="C14" s="105"/>
      <c r="D14" s="106"/>
      <c r="E14" s="9">
        <v>-445307</v>
      </c>
      <c r="F14" s="14" t="s">
        <v>3</v>
      </c>
      <c r="G14" s="1"/>
    </row>
    <row r="15" spans="1:7" x14ac:dyDescent="0.25">
      <c r="A15" s="1"/>
      <c r="B15" s="104" t="s">
        <v>254</v>
      </c>
      <c r="C15" s="105"/>
      <c r="D15" s="106"/>
      <c r="E15" s="9">
        <v>-445307</v>
      </c>
      <c r="F15" s="14" t="s">
        <v>3</v>
      </c>
      <c r="G15" s="1"/>
    </row>
    <row r="16" spans="1:7" x14ac:dyDescent="0.25">
      <c r="A16" s="1"/>
      <c r="B16" s="52"/>
      <c r="C16" s="53"/>
      <c r="D16" s="53"/>
      <c r="E16" s="53"/>
      <c r="F16" s="19"/>
      <c r="G16" s="1"/>
    </row>
    <row r="17" spans="1:7" ht="32.25" customHeight="1" x14ac:dyDescent="0.25">
      <c r="A17" s="1"/>
      <c r="B17" s="119" t="s">
        <v>255</v>
      </c>
      <c r="C17" s="120"/>
      <c r="D17" s="120"/>
      <c r="E17" s="120"/>
      <c r="F17" s="121"/>
      <c r="G17" s="1"/>
    </row>
    <row r="18" spans="1:7" x14ac:dyDescent="0.25">
      <c r="A18" s="1"/>
      <c r="B18" s="1"/>
      <c r="C18" s="1"/>
      <c r="D18" s="1"/>
      <c r="E18" s="1"/>
      <c r="F18" s="1"/>
      <c r="G18" s="1"/>
    </row>
    <row r="19" spans="1:7" x14ac:dyDescent="0.25">
      <c r="A19" s="1"/>
      <c r="B19" s="69" t="s">
        <v>256</v>
      </c>
      <c r="C19" s="70"/>
      <c r="D19" s="70"/>
      <c r="E19" s="70"/>
      <c r="F19" s="71"/>
      <c r="G19" s="1"/>
    </row>
    <row r="20" spans="1:7" x14ac:dyDescent="0.25">
      <c r="A20" s="1"/>
      <c r="B20" s="65" t="s">
        <v>257</v>
      </c>
      <c r="C20" s="66"/>
      <c r="D20" s="67"/>
      <c r="E20" s="9">
        <v>56631467</v>
      </c>
      <c r="F20" s="14" t="s">
        <v>3</v>
      </c>
      <c r="G20" s="1"/>
    </row>
    <row r="21" spans="1:7" x14ac:dyDescent="0.25">
      <c r="A21" s="1"/>
      <c r="B21" s="65" t="s">
        <v>258</v>
      </c>
      <c r="C21" s="66"/>
      <c r="D21" s="67"/>
      <c r="E21" s="9">
        <v>64021204</v>
      </c>
      <c r="F21" s="14" t="s">
        <v>3</v>
      </c>
      <c r="G21" s="1"/>
    </row>
    <row r="22" spans="1:7" x14ac:dyDescent="0.25">
      <c r="A22" s="1"/>
      <c r="B22" s="65" t="s">
        <v>29</v>
      </c>
      <c r="C22" s="66"/>
      <c r="D22" s="67"/>
      <c r="E22" s="9">
        <v>0</v>
      </c>
      <c r="F22" s="14" t="s">
        <v>3</v>
      </c>
      <c r="G22" s="1"/>
    </row>
    <row r="23" spans="1:7" x14ac:dyDescent="0.25">
      <c r="A23" s="1"/>
      <c r="B23" s="73" t="s">
        <v>259</v>
      </c>
      <c r="C23" s="74"/>
      <c r="D23" s="75"/>
      <c r="E23" s="10">
        <f>E20-(E21-E22)</f>
        <v>-7389737</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101" t="s">
        <v>260</v>
      </c>
      <c r="C26" s="102"/>
      <c r="D26" s="102"/>
      <c r="E26" s="102"/>
      <c r="F26" s="103"/>
      <c r="G26" s="1"/>
    </row>
    <row r="27" spans="1:7" x14ac:dyDescent="0.25">
      <c r="A27" s="1"/>
      <c r="B27" s="129" t="s">
        <v>261</v>
      </c>
      <c r="C27" s="130"/>
      <c r="D27" s="131"/>
      <c r="E27" s="62">
        <f>IF(AND(E15&lt;0,E23&gt;0,ABS(SUM(E14:E15))&lt;E23),ABS(E14),IF(AND(E15&lt;0,E23&gt;0,ABS(SUM(E14:E15))&gt;E23),SUM(E14,E23),0))</f>
        <v>0</v>
      </c>
      <c r="F27" s="17" t="s">
        <v>3</v>
      </c>
      <c r="G27" s="1"/>
    </row>
    <row r="28" spans="1:7" x14ac:dyDescent="0.25">
      <c r="A28" s="1"/>
      <c r="B28" s="101"/>
      <c r="C28" s="102"/>
      <c r="D28" s="102"/>
      <c r="E28" s="102"/>
      <c r="F28" s="103"/>
      <c r="G28" s="1"/>
    </row>
    <row r="29" spans="1:7" x14ac:dyDescent="0.25">
      <c r="A29" s="1"/>
      <c r="B29" s="1"/>
      <c r="C29" s="1"/>
      <c r="D29" s="1"/>
      <c r="E29" s="1"/>
      <c r="F29" s="1"/>
      <c r="G29" s="1"/>
    </row>
    <row r="30" spans="1:7" x14ac:dyDescent="0.25">
      <c r="A30" s="1"/>
      <c r="B30" s="101" t="s">
        <v>262</v>
      </c>
      <c r="C30" s="102"/>
      <c r="D30" s="102"/>
      <c r="E30" s="102"/>
      <c r="F30" s="103"/>
      <c r="G30" s="1"/>
    </row>
    <row r="31" spans="1:7" x14ac:dyDescent="0.25">
      <c r="A31" s="1"/>
      <c r="B31" s="122" t="s">
        <v>117</v>
      </c>
      <c r="C31" s="123"/>
      <c r="D31" s="124"/>
      <c r="E31" s="63">
        <f>IF(AND(E9&gt;0,(E9+E23)&gt;0),0,IF(AND(E9&gt;0,(E9+E23)&lt;0),(E9+E23),IF(AND(E9&lt;0,E23&lt;0),E23,0)))</f>
        <v>-7389737</v>
      </c>
      <c r="F31" s="14" t="s">
        <v>3</v>
      </c>
      <c r="G31" s="1"/>
    </row>
    <row r="32" spans="1:7" x14ac:dyDescent="0.25">
      <c r="A32" s="1"/>
      <c r="B32" s="122" t="s">
        <v>85</v>
      </c>
      <c r="C32" s="123"/>
      <c r="D32" s="124"/>
      <c r="E32" s="9">
        <v>2</v>
      </c>
      <c r="F32" s="14" t="s">
        <v>18</v>
      </c>
      <c r="G32" s="1"/>
    </row>
    <row r="33" spans="1:7" x14ac:dyDescent="0.25">
      <c r="A33" s="1"/>
      <c r="B33" s="125" t="s">
        <v>116</v>
      </c>
      <c r="C33" s="125"/>
      <c r="D33" s="125"/>
      <c r="E33" s="62">
        <f>E31/E32</f>
        <v>-3694868.5</v>
      </c>
      <c r="F33" s="17" t="s">
        <v>3</v>
      </c>
      <c r="G33" s="1"/>
    </row>
    <row r="34" spans="1:7" x14ac:dyDescent="0.25">
      <c r="A34" s="1"/>
      <c r="B34" s="126"/>
      <c r="C34" s="127"/>
      <c r="D34" s="127"/>
      <c r="E34" s="127"/>
      <c r="F34" s="12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9rpwuAVqRbo5qOsElh1tnaVVL3+t3LQQr9Jr316+VrwwEK8bWWgTZIV6jOZjcokeiFbUO5SNop2ONrTf0XHENg==" saltValue="cqz3zuTWTq5L/vvkJ18N+A==" spinCount="100000" sheet="1" objects="1" scenarios="1"/>
  <mergeCells count="16">
    <mergeCell ref="B31:D31"/>
    <mergeCell ref="B32:D32"/>
    <mergeCell ref="B33:D33"/>
    <mergeCell ref="B34:F34"/>
    <mergeCell ref="B15:D15"/>
    <mergeCell ref="B17:F17"/>
    <mergeCell ref="B26:F26"/>
    <mergeCell ref="B27:D27"/>
    <mergeCell ref="B28:F28"/>
    <mergeCell ref="B30:F30"/>
    <mergeCell ref="B14:D14"/>
    <mergeCell ref="B3:F4"/>
    <mergeCell ref="B8:F8"/>
    <mergeCell ref="B9:D9"/>
    <mergeCell ref="B11:F11"/>
    <mergeCell ref="B13:F1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7" t="s">
        <v>183</v>
      </c>
      <c r="C3" s="97"/>
      <c r="D3" s="97"/>
      <c r="E3" s="97"/>
      <c r="F3" s="97"/>
      <c r="G3" s="97"/>
      <c r="H3" s="97"/>
      <c r="I3" s="1"/>
    </row>
    <row r="4" spans="1:9" ht="15" customHeight="1" x14ac:dyDescent="0.25">
      <c r="A4" s="1"/>
      <c r="B4" s="97"/>
      <c r="C4" s="97"/>
      <c r="D4" s="97"/>
      <c r="E4" s="97"/>
      <c r="F4" s="97"/>
      <c r="G4" s="97"/>
      <c r="H4" s="9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1" t="s">
        <v>184</v>
      </c>
      <c r="C8" s="102"/>
      <c r="D8" s="102"/>
      <c r="E8" s="102"/>
      <c r="F8" s="102"/>
      <c r="G8" s="102"/>
      <c r="H8" s="103"/>
      <c r="I8" s="1"/>
    </row>
    <row r="9" spans="1:9" ht="15" customHeight="1" x14ac:dyDescent="0.25">
      <c r="A9" s="1"/>
      <c r="B9" s="132" t="s">
        <v>234</v>
      </c>
      <c r="C9" s="133"/>
      <c r="D9" s="133"/>
      <c r="E9" s="133"/>
      <c r="F9" s="133"/>
      <c r="G9" s="133"/>
      <c r="H9" s="134"/>
      <c r="I9" s="1"/>
    </row>
    <row r="10" spans="1:9" x14ac:dyDescent="0.25">
      <c r="A10" s="1"/>
      <c r="B10" s="135" t="s">
        <v>185</v>
      </c>
      <c r="C10" s="136"/>
      <c r="D10" s="136"/>
      <c r="E10" s="136"/>
      <c r="F10" s="137"/>
      <c r="G10" s="45"/>
      <c r="H10" s="9" t="s">
        <v>3</v>
      </c>
      <c r="I10" s="1"/>
    </row>
    <row r="11" spans="1:9" x14ac:dyDescent="0.25">
      <c r="A11" s="1"/>
      <c r="B11" s="135" t="s">
        <v>186</v>
      </c>
      <c r="C11" s="136"/>
      <c r="D11" s="136"/>
      <c r="E11" s="136"/>
      <c r="F11" s="137"/>
      <c r="G11" s="45"/>
      <c r="H11" s="9" t="s">
        <v>3</v>
      </c>
      <c r="I11" s="1"/>
    </row>
    <row r="12" spans="1:9" x14ac:dyDescent="0.25">
      <c r="A12" s="1"/>
      <c r="B12" s="135" t="s">
        <v>187</v>
      </c>
      <c r="C12" s="136"/>
      <c r="D12" s="136"/>
      <c r="E12" s="136"/>
      <c r="F12" s="137"/>
      <c r="G12" s="9"/>
      <c r="H12" s="9" t="s">
        <v>3</v>
      </c>
      <c r="I12" s="1"/>
    </row>
    <row r="13" spans="1:9" x14ac:dyDescent="0.25">
      <c r="A13" s="1"/>
      <c r="B13" s="135" t="s">
        <v>188</v>
      </c>
      <c r="C13" s="136"/>
      <c r="D13" s="136"/>
      <c r="E13" s="136"/>
      <c r="F13" s="137"/>
      <c r="G13" s="9"/>
      <c r="H13" s="9" t="s">
        <v>3</v>
      </c>
      <c r="I13" s="1"/>
    </row>
    <row r="14" spans="1:9" x14ac:dyDescent="0.25">
      <c r="A14" s="1"/>
      <c r="B14" s="135" t="s">
        <v>189</v>
      </c>
      <c r="C14" s="136"/>
      <c r="D14" s="136"/>
      <c r="E14" s="136"/>
      <c r="F14" s="137"/>
      <c r="G14" s="9"/>
      <c r="H14" s="9" t="s">
        <v>3</v>
      </c>
      <c r="I14" s="1"/>
    </row>
    <row r="15" spans="1:9" x14ac:dyDescent="0.25">
      <c r="A15" s="1"/>
      <c r="B15" s="135" t="s">
        <v>190</v>
      </c>
      <c r="C15" s="136"/>
      <c r="D15" s="136"/>
      <c r="E15" s="136"/>
      <c r="F15" s="137"/>
      <c r="G15" s="9"/>
      <c r="H15" s="9" t="s">
        <v>3</v>
      </c>
      <c r="I15" s="1"/>
    </row>
    <row r="16" spans="1:9" x14ac:dyDescent="0.25">
      <c r="A16" s="1"/>
      <c r="B16" s="135" t="s">
        <v>191</v>
      </c>
      <c r="C16" s="136"/>
      <c r="D16" s="136"/>
      <c r="E16" s="136"/>
      <c r="F16" s="137"/>
      <c r="G16" s="9"/>
      <c r="H16" s="9" t="s">
        <v>3</v>
      </c>
      <c r="I16" s="1"/>
    </row>
    <row r="17" spans="1:9" x14ac:dyDescent="0.25">
      <c r="A17" s="1"/>
      <c r="B17" s="135" t="s">
        <v>192</v>
      </c>
      <c r="C17" s="136"/>
      <c r="D17" s="136"/>
      <c r="E17" s="136"/>
      <c r="F17" s="137"/>
      <c r="G17" s="9"/>
      <c r="H17" s="9" t="s">
        <v>3</v>
      </c>
      <c r="I17" s="1"/>
    </row>
    <row r="18" spans="1:9" x14ac:dyDescent="0.25">
      <c r="A18" s="1"/>
      <c r="B18" s="101" t="s">
        <v>193</v>
      </c>
      <c r="C18" s="102"/>
      <c r="D18" s="102"/>
      <c r="E18" s="102"/>
      <c r="F18" s="10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7ZlBZe2bmrtYv906UYjxgpHGVFuJ/0WOkreQaZ3nysKbrRNnPt9OYA14VORCSGUrd7TanE2S3Nvxf7XSC0b4nw==" saltValue="tCekWniBIP5PxlX8ttWEh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7" t="s">
        <v>177</v>
      </c>
      <c r="C3" s="97"/>
      <c r="D3" s="97"/>
      <c r="E3" s="97"/>
      <c r="F3" s="97"/>
      <c r="G3" s="97"/>
      <c r="H3" s="97"/>
      <c r="I3" s="97"/>
      <c r="J3" s="97"/>
      <c r="K3" s="97"/>
      <c r="L3" s="1"/>
    </row>
    <row r="4" spans="1:12" ht="15" customHeight="1" x14ac:dyDescent="0.25">
      <c r="A4" s="1"/>
      <c r="B4" s="97"/>
      <c r="C4" s="97"/>
      <c r="D4" s="97"/>
      <c r="E4" s="97"/>
      <c r="F4" s="97"/>
      <c r="G4" s="97"/>
      <c r="H4" s="97"/>
      <c r="I4" s="97"/>
      <c r="J4" s="97"/>
      <c r="K4" s="9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1" t="s">
        <v>155</v>
      </c>
      <c r="C8" s="102"/>
      <c r="D8" s="102"/>
      <c r="E8" s="102"/>
      <c r="F8" s="102"/>
      <c r="G8" s="102"/>
      <c r="H8" s="102"/>
      <c r="I8" s="102"/>
      <c r="J8" s="102"/>
      <c r="K8" s="103"/>
      <c r="L8" s="1"/>
    </row>
    <row r="9" spans="1:12" ht="39.75" customHeight="1" x14ac:dyDescent="0.25">
      <c r="A9" s="1"/>
      <c r="B9" s="18" t="s">
        <v>0</v>
      </c>
      <c r="C9" s="18" t="s">
        <v>1</v>
      </c>
      <c r="D9" s="138" t="s">
        <v>170</v>
      </c>
      <c r="E9" s="139"/>
      <c r="F9" s="138" t="s">
        <v>2</v>
      </c>
      <c r="G9" s="139"/>
      <c r="H9" s="138" t="s">
        <v>171</v>
      </c>
      <c r="I9" s="139"/>
      <c r="J9" s="138" t="s">
        <v>26</v>
      </c>
      <c r="K9" s="139"/>
      <c r="L9" s="1"/>
    </row>
    <row r="10" spans="1:12" x14ac:dyDescent="0.25">
      <c r="A10" s="1"/>
      <c r="B10" s="78" t="s">
        <v>238</v>
      </c>
      <c r="C10" s="31">
        <v>0</v>
      </c>
      <c r="D10" s="9">
        <v>0</v>
      </c>
      <c r="E10" s="14" t="s">
        <v>3</v>
      </c>
      <c r="F10" s="56">
        <f>IFERROR(D10/C10,0)</f>
        <v>0</v>
      </c>
      <c r="G10" s="14" t="s">
        <v>3</v>
      </c>
      <c r="H10" s="9">
        <v>0</v>
      </c>
      <c r="I10" s="14" t="s">
        <v>3</v>
      </c>
      <c r="J10" s="9">
        <v>0</v>
      </c>
      <c r="K10" s="14" t="s">
        <v>3</v>
      </c>
      <c r="L10" s="1"/>
    </row>
    <row r="11" spans="1:12" x14ac:dyDescent="0.25">
      <c r="A11" s="1"/>
      <c r="B11" s="52" t="s">
        <v>215</v>
      </c>
      <c r="C11" s="53"/>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8qzAEHOCFVu17pKJJMAaI1Lxh6Qzki8bt+bmmq+75jHM04gOa1ILi2NWKJIWEWjbEsxGIjM+uJbWQi+0vvK3dw==" saltValue="YrucYBAq7MseXupKwZcnT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178</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6" t="s">
        <v>15</v>
      </c>
      <c r="C9" s="76" t="s">
        <v>10</v>
      </c>
      <c r="D9" s="77"/>
      <c r="E9" s="76"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263</v>
      </c>
      <c r="C11" s="21">
        <v>0</v>
      </c>
      <c r="D11" s="14" t="s">
        <v>3</v>
      </c>
      <c r="E11" s="9">
        <v>6955</v>
      </c>
      <c r="F11" s="14" t="s">
        <v>3</v>
      </c>
      <c r="G11" s="1"/>
    </row>
    <row r="12" spans="1:7" x14ac:dyDescent="0.25">
      <c r="A12" s="1"/>
      <c r="B12" s="27" t="s">
        <v>264</v>
      </c>
      <c r="C12" s="21">
        <v>317916</v>
      </c>
      <c r="D12" s="14" t="s">
        <v>3</v>
      </c>
      <c r="E12" s="9">
        <v>0</v>
      </c>
      <c r="F12" s="14" t="s">
        <v>3</v>
      </c>
      <c r="G12" s="1"/>
    </row>
    <row r="13" spans="1:7" x14ac:dyDescent="0.25">
      <c r="A13" s="1"/>
      <c r="B13" s="27" t="s">
        <v>266</v>
      </c>
      <c r="C13" s="21">
        <v>920096</v>
      </c>
      <c r="D13" s="14" t="s">
        <v>3</v>
      </c>
      <c r="E13" s="9"/>
      <c r="F13" s="14" t="s">
        <v>3</v>
      </c>
      <c r="G13" s="1"/>
    </row>
    <row r="14" spans="1:7" x14ac:dyDescent="0.25">
      <c r="A14" s="1"/>
      <c r="B14" s="27" t="s">
        <v>267</v>
      </c>
      <c r="C14" s="21">
        <v>23249</v>
      </c>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2" t="s">
        <v>151</v>
      </c>
      <c r="C17" s="12">
        <f>SUM(C10:C16)</f>
        <v>1261261</v>
      </c>
      <c r="D17" s="13" t="s">
        <v>3</v>
      </c>
      <c r="E17" s="12">
        <f>SUM(E10:E16)</f>
        <v>6955</v>
      </c>
      <c r="F17" s="13" t="s">
        <v>3</v>
      </c>
      <c r="G17" s="1"/>
    </row>
    <row r="18" spans="1:7" x14ac:dyDescent="0.25">
      <c r="A18" s="1"/>
      <c r="B18" s="52" t="s">
        <v>209</v>
      </c>
      <c r="C18" s="12">
        <f>C17*(1+'Fane 13. Nøgletal'!C16)</f>
        <v>1363170.8888000001</v>
      </c>
      <c r="D18" s="13" t="s">
        <v>3</v>
      </c>
      <c r="E18" s="12">
        <f>E17*(1+'Fane 13. Nøgletal'!C16)</f>
        <v>7516.9639999999999</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GZZ/hNXHocfbz/IIqv6eePBtiGfC4Wlgvdejvmm11XfbdSWE+nNJN/vBFIK4UgzoujFW25fD3QwCAoBYz1eIw==" saltValue="WdiXJ8oMr6RP3gFwPSVAB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179</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1" t="s">
        <v>217</v>
      </c>
      <c r="C9" s="102"/>
      <c r="D9" s="102"/>
      <c r="E9" s="102"/>
      <c r="F9" s="103"/>
      <c r="G9" s="1"/>
    </row>
    <row r="10" spans="1:7" ht="26.25" x14ac:dyDescent="0.25">
      <c r="A10" s="1"/>
      <c r="B10" s="76" t="s">
        <v>15</v>
      </c>
      <c r="C10" s="76" t="s">
        <v>10</v>
      </c>
      <c r="D10" s="77"/>
      <c r="E10" s="76" t="s">
        <v>27</v>
      </c>
      <c r="F10" s="30"/>
      <c r="G10" s="1"/>
    </row>
    <row r="11" spans="1:7" x14ac:dyDescent="0.25">
      <c r="A11" s="1"/>
      <c r="B11" s="23" t="s">
        <v>265</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2" t="s">
        <v>218</v>
      </c>
      <c r="C14" s="12">
        <f>SUM(C11:C13)</f>
        <v>0</v>
      </c>
      <c r="D14" s="13" t="s">
        <v>3</v>
      </c>
      <c r="E14" s="12">
        <f>SUM(E11:E13)</f>
        <v>0</v>
      </c>
      <c r="F14" s="13" t="s">
        <v>3</v>
      </c>
      <c r="G14" s="1"/>
    </row>
    <row r="15" spans="1:7" x14ac:dyDescent="0.25">
      <c r="A15" s="1"/>
      <c r="B15" s="52"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zrNNzokMMvNNJ4Eio7uNBnqPdnvfO98+U52K74e/p1LpWeHSBDlFHsnQlQ/QtWZfwKj34oh2gHx8J6evfSN1iQ==" saltValue="wpnZVv16hydJ9giXCO7MI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180</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1" t="s">
        <v>104</v>
      </c>
      <c r="C8" s="102"/>
      <c r="D8" s="102"/>
      <c r="E8" s="102"/>
      <c r="F8" s="103"/>
      <c r="G8" s="1"/>
    </row>
    <row r="9" spans="1:7" ht="15" customHeight="1" x14ac:dyDescent="0.25">
      <c r="A9" s="1"/>
      <c r="B9" s="54" t="s">
        <v>105</v>
      </c>
      <c r="C9" s="132" t="s">
        <v>10</v>
      </c>
      <c r="D9" s="134"/>
      <c r="E9" s="132" t="s">
        <v>27</v>
      </c>
      <c r="F9" s="134"/>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ouMCqXbmoKKTayV6lSPHGANbM5pf30/CfE/dcV07SPfdL3dtaowCWSKkhpsUeQHXrCCvryhQcmff0TSixK/96Q==" saltValue="rbTTX20PT27NcyRlxwkCV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181</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1" t="s">
        <v>237</v>
      </c>
      <c r="C10" s="102"/>
      <c r="D10" s="102"/>
      <c r="E10" s="102"/>
      <c r="F10" s="103"/>
      <c r="G10" s="1"/>
    </row>
    <row r="11" spans="1:7" ht="26.25" x14ac:dyDescent="0.25">
      <c r="A11" s="1"/>
      <c r="B11" s="54" t="s">
        <v>16</v>
      </c>
      <c r="C11" s="54" t="s">
        <v>10</v>
      </c>
      <c r="D11" s="30"/>
      <c r="E11" s="54" t="s">
        <v>27</v>
      </c>
      <c r="F11" s="30"/>
      <c r="G11" s="1"/>
    </row>
    <row r="12" spans="1:7" x14ac:dyDescent="0.25">
      <c r="A12" s="1"/>
      <c r="B12" s="58" t="s">
        <v>242</v>
      </c>
      <c r="C12" s="9">
        <v>0</v>
      </c>
      <c r="D12" s="14" t="s">
        <v>3</v>
      </c>
      <c r="E12" s="9">
        <v>0</v>
      </c>
      <c r="F12" s="14" t="s">
        <v>3</v>
      </c>
      <c r="G12" s="1"/>
    </row>
    <row r="13" spans="1:7" x14ac:dyDescent="0.25">
      <c r="A13" s="1"/>
      <c r="B13" s="52" t="s">
        <v>78</v>
      </c>
      <c r="C13" s="12">
        <f>SUM(C12:C12)</f>
        <v>0</v>
      </c>
      <c r="D13" s="13" t="s">
        <v>3</v>
      </c>
      <c r="E13" s="12">
        <f>SUM(E12:E12)</f>
        <v>0</v>
      </c>
      <c r="F13" s="13" t="s">
        <v>3</v>
      </c>
      <c r="G13" s="1"/>
    </row>
    <row r="14" spans="1:7" x14ac:dyDescent="0.25">
      <c r="A14" s="1"/>
      <c r="B14" s="52"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cRsavj24LLGlkX+vpPTZVvm8H4Kc6Sgi7oBQ3Slbnf29ioJg3OLlvON1CUUPyjty+AW/P6PXNX0A8isN3jrqCQ==" saltValue="B3TqC3aW92zW5aC/Rp1f9g=="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0" t="s">
        <v>182</v>
      </c>
      <c r="C3" s="100"/>
      <c r="D3" s="1"/>
    </row>
    <row r="4" spans="1:4" ht="25.5" customHeight="1" x14ac:dyDescent="0.25">
      <c r="A4" s="1"/>
      <c r="B4" s="100"/>
      <c r="C4" s="100"/>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68" t="s">
        <v>93</v>
      </c>
      <c r="C9" s="40">
        <v>1.2699999999999999E-2</v>
      </c>
      <c r="D9" s="1"/>
    </row>
    <row r="10" spans="1:4" x14ac:dyDescent="0.25">
      <c r="A10" s="1"/>
      <c r="B10" s="68" t="s">
        <v>21</v>
      </c>
      <c r="C10" s="40">
        <v>1.7500000000000002E-2</v>
      </c>
      <c r="D10" s="1"/>
    </row>
    <row r="11" spans="1:4" x14ac:dyDescent="0.25">
      <c r="A11" s="1"/>
      <c r="B11" s="68"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1"/>
      <c r="C17" s="103"/>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68" t="s">
        <v>95</v>
      </c>
      <c r="C21" s="42">
        <v>9.1000000000000004E-3</v>
      </c>
      <c r="D21" s="1"/>
    </row>
    <row r="22" spans="1:4" x14ac:dyDescent="0.25">
      <c r="A22" s="1"/>
      <c r="B22" s="68" t="s">
        <v>96</v>
      </c>
      <c r="C22" s="42">
        <v>1.77E-2</v>
      </c>
      <c r="D22" s="1"/>
    </row>
    <row r="23" spans="1:4" x14ac:dyDescent="0.25">
      <c r="A23" s="1"/>
      <c r="B23" s="68" t="s">
        <v>97</v>
      </c>
      <c r="C23" s="42">
        <v>8.6999999999999994E-3</v>
      </c>
      <c r="D23" s="1"/>
    </row>
    <row r="24" spans="1:4" x14ac:dyDescent="0.25">
      <c r="A24" s="1"/>
      <c r="B24" s="68" t="s">
        <v>98</v>
      </c>
      <c r="C24" s="42">
        <v>2.8400000000000002E-2</v>
      </c>
      <c r="D24" s="1"/>
    </row>
    <row r="25" spans="1:4" x14ac:dyDescent="0.25">
      <c r="A25" s="1"/>
      <c r="B25" s="68" t="s">
        <v>111</v>
      </c>
      <c r="C25" s="42">
        <v>2.75E-2</v>
      </c>
      <c r="D25" s="1"/>
    </row>
    <row r="26" spans="1:4" x14ac:dyDescent="0.25">
      <c r="A26" s="1"/>
      <c r="B26" s="68"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68"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m15MqiN3QDjBMeyDpNQaBxALYArCLYa+ehdrSBl3wp7PjY0/CzFEjuOxY0YWvXFgva+V70tBEn8GYSUHnBM6zQ==" saltValue="nNhXK/PDqhhV/TpnWO1qrQ=="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198</v>
      </c>
      <c r="C3" s="97"/>
      <c r="D3" s="97"/>
      <c r="E3" s="1"/>
    </row>
    <row r="4" spans="1:5" ht="15" customHeight="1"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29461242.845237404</v>
      </c>
      <c r="D8" s="8" t="s">
        <v>3</v>
      </c>
      <c r="E8" s="1"/>
    </row>
    <row r="9" spans="1:5" ht="17.100000000000001" customHeight="1" x14ac:dyDescent="0.25">
      <c r="A9" s="1"/>
      <c r="B9" s="24" t="s">
        <v>33</v>
      </c>
      <c r="C9" s="7">
        <f>'Fane 10.1. Varige tillæg'!C18</f>
        <v>1363170.8888000001</v>
      </c>
      <c r="D9" s="8" t="s">
        <v>3</v>
      </c>
      <c r="E9" s="1"/>
    </row>
    <row r="10" spans="1:5" ht="17.100000000000001" customHeight="1" x14ac:dyDescent="0.25">
      <c r="A10" s="1"/>
      <c r="B10" s="24" t="s">
        <v>34</v>
      </c>
      <c r="C10" s="9">
        <f>'Fane 10.1. Varige tillæg'!E18</f>
        <v>7516.9639999999999</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1159571.8237966916</v>
      </c>
      <c r="D15" s="8" t="s">
        <v>3</v>
      </c>
      <c r="E15" s="1"/>
    </row>
    <row r="16" spans="1:5" ht="17.100000000000001" customHeight="1" x14ac:dyDescent="0.25">
      <c r="A16" s="1"/>
      <c r="B16" s="24" t="s">
        <v>9</v>
      </c>
      <c r="C16" s="9">
        <f>-SUM(C8,C9:C15)*'Fane 5. Individuelt eff. krav'!G9</f>
        <v>-639830.05043668195</v>
      </c>
      <c r="D16" s="8" t="s">
        <v>3</v>
      </c>
      <c r="E16" s="1"/>
    </row>
    <row r="17" spans="1:5" ht="17.100000000000001" customHeight="1" x14ac:dyDescent="0.25">
      <c r="A17" s="1"/>
      <c r="B17" s="24" t="s">
        <v>22</v>
      </c>
      <c r="C17" s="9">
        <f>-'Fane 4.1. Gen. krav - drift'!G49</f>
        <v>-279498.40890240151</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3" t="s">
        <v>19</v>
      </c>
      <c r="C19" s="10">
        <f>SUM(C8:C18)</f>
        <v>31072174.062495012</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38109303.261590399</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3" t="s">
        <v>76</v>
      </c>
      <c r="C27" s="57">
        <f>SUM(C23:C26)</f>
        <v>0</v>
      </c>
      <c r="D27" s="11" t="s">
        <v>3</v>
      </c>
      <c r="E27" s="1"/>
    </row>
    <row r="28" spans="1:5" ht="15" customHeight="1" x14ac:dyDescent="0.25">
      <c r="A28" s="1"/>
      <c r="B28" s="26" t="s">
        <v>117</v>
      </c>
      <c r="C28" s="53"/>
      <c r="D28" s="19"/>
      <c r="E28" s="1"/>
    </row>
    <row r="29" spans="1:5" x14ac:dyDescent="0.25">
      <c r="A29" s="1"/>
      <c r="B29" s="72" t="s">
        <v>118</v>
      </c>
      <c r="C29" s="10">
        <f>'Fane 7. Kontrol af ØR2022'!E15</f>
        <v>-445307</v>
      </c>
      <c r="D29" s="11" t="s">
        <v>3</v>
      </c>
      <c r="E29" s="1"/>
    </row>
    <row r="30" spans="1:5" x14ac:dyDescent="0.25">
      <c r="A30" s="1"/>
      <c r="B30" s="26" t="s">
        <v>138</v>
      </c>
      <c r="C30" s="53"/>
      <c r="D30" s="19"/>
      <c r="E30" s="1"/>
    </row>
    <row r="31" spans="1:5" x14ac:dyDescent="0.25">
      <c r="A31" s="1"/>
      <c r="B31" s="72" t="s">
        <v>139</v>
      </c>
      <c r="C31" s="10">
        <f>'Fane 8. Skattesagen'!G13</f>
        <v>0</v>
      </c>
      <c r="D31" s="11" t="s">
        <v>3</v>
      </c>
      <c r="E31" s="1"/>
    </row>
    <row r="32" spans="1:5" x14ac:dyDescent="0.25">
      <c r="A32" s="1"/>
      <c r="B32" s="52" t="s">
        <v>126</v>
      </c>
      <c r="C32" s="33">
        <f>SUM(C19,C21,C27,C29,C31)</f>
        <v>68736170.324085414</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36RruEmBVAIIC4gMOMU39ZxR5hir+YQnp0pmVrgrrQC+2efZuSaWzuQ7UXDAjMN7UYb4jiack5lLgzsIWi1FcA==" saltValue="ubxbPoK7FRnurmWi9dzHy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199</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31072174.062495012</v>
      </c>
      <c r="D8" s="8" t="s">
        <v>3</v>
      </c>
      <c r="E8" s="1"/>
    </row>
    <row r="9" spans="1:5" ht="15" customHeight="1" x14ac:dyDescent="0.25">
      <c r="A9" s="1"/>
      <c r="B9" s="29" t="s">
        <v>17</v>
      </c>
      <c r="C9" s="9">
        <f>SUM(C8:C8)*'Fane 13. Nøgletal'!C16</f>
        <v>2510631.6642495967</v>
      </c>
      <c r="D9" s="8" t="s">
        <v>3</v>
      </c>
      <c r="E9" s="1"/>
    </row>
    <row r="10" spans="1:5" ht="15" customHeight="1" x14ac:dyDescent="0.25">
      <c r="A10" s="1"/>
      <c r="B10" s="29" t="s">
        <v>9</v>
      </c>
      <c r="C10" s="9">
        <f>-SUM(C8:C9)*'Fane 5. Individuelt eff. krav'!G9</f>
        <v>-671656.11453489214</v>
      </c>
      <c r="D10" s="8" t="s">
        <v>3</v>
      </c>
      <c r="E10" s="1"/>
    </row>
    <row r="11" spans="1:5" ht="15" customHeight="1" x14ac:dyDescent="0.25">
      <c r="A11" s="1"/>
      <c r="B11" s="29" t="s">
        <v>22</v>
      </c>
      <c r="C11" s="9">
        <f>-'Fane 4.1. Gen. krav - drift'!G54</f>
        <v>-296040.24273488129</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32615109.369474832</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41188534.965126902</v>
      </c>
      <c r="D15" s="11" t="s">
        <v>3</v>
      </c>
      <c r="E15" s="1"/>
    </row>
    <row r="16" spans="1:5" x14ac:dyDescent="0.25">
      <c r="A16" s="1"/>
      <c r="B16" s="26" t="s">
        <v>117</v>
      </c>
      <c r="C16" s="53"/>
      <c r="D16" s="19"/>
      <c r="E16" s="1"/>
    </row>
    <row r="17" spans="1:5" ht="15" customHeight="1" x14ac:dyDescent="0.25">
      <c r="A17" s="1"/>
      <c r="B17" s="72" t="s">
        <v>118</v>
      </c>
      <c r="C17" s="10">
        <f>'Fane 7. Kontrol af ØR2022'!E33</f>
        <v>-3694868.5</v>
      </c>
      <c r="D17" s="11" t="s">
        <v>3</v>
      </c>
      <c r="E17" s="1"/>
    </row>
    <row r="18" spans="1:5" x14ac:dyDescent="0.25">
      <c r="A18" s="1"/>
      <c r="B18" s="26" t="s">
        <v>138</v>
      </c>
      <c r="C18" s="53"/>
      <c r="D18" s="19"/>
      <c r="E18" s="1"/>
    </row>
    <row r="19" spans="1:5" x14ac:dyDescent="0.25">
      <c r="A19" s="1"/>
      <c r="B19" s="72" t="s">
        <v>139</v>
      </c>
      <c r="C19" s="10">
        <f>'Fane 8. Skattesagen'!G13</f>
        <v>0</v>
      </c>
      <c r="D19" s="11" t="s">
        <v>3</v>
      </c>
      <c r="E19" s="1"/>
    </row>
    <row r="20" spans="1:5" x14ac:dyDescent="0.25">
      <c r="A20" s="1"/>
      <c r="B20" s="52" t="s">
        <v>128</v>
      </c>
      <c r="C20" s="12">
        <f>SUM(C13,C15,C17,C19)</f>
        <v>70108775.83460173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pwzV4MUflAekKsp0j/cNI2wn2z0/UiTRl5qKurG2F8tb8TxqrnpGKJYtWvQRhqHDLhSjUUnfUbpCiVRKIXrWg==" saltValue="tv+XuvvBOVoeHWj0Os3QP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200</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32615109.369474832</v>
      </c>
      <c r="D8" s="8" t="s">
        <v>3</v>
      </c>
      <c r="E8" s="1"/>
    </row>
    <row r="9" spans="1:5" ht="15" customHeight="1" x14ac:dyDescent="0.25">
      <c r="A9" s="1"/>
      <c r="B9" s="29" t="s">
        <v>17</v>
      </c>
      <c r="C9" s="9">
        <f>SUM(C8:C8)*'Fane 13. Nøgletal'!C16</f>
        <v>2635300.8370535662</v>
      </c>
      <c r="D9" s="8" t="s">
        <v>3</v>
      </c>
      <c r="E9" s="1"/>
    </row>
    <row r="10" spans="1:5" ht="15" customHeight="1" x14ac:dyDescent="0.25">
      <c r="A10" s="1"/>
      <c r="B10" s="29" t="s">
        <v>9</v>
      </c>
      <c r="C10" s="9">
        <f>-SUM(C8:C9)*'Fane 5. Individuelt eff. krav'!G9</f>
        <v>-705008.20413056796</v>
      </c>
      <c r="D10" s="8" t="s">
        <v>3</v>
      </c>
      <c r="E10" s="1"/>
    </row>
    <row r="11" spans="1:5" ht="15" customHeight="1" x14ac:dyDescent="0.25">
      <c r="A11" s="1"/>
      <c r="B11" s="29" t="s">
        <v>22</v>
      </c>
      <c r="C11" s="9">
        <f>-'Fane 4.1. Gen. krav - drift'!G59</f>
        <v>-313561.08846090245</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34231840.913936928</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44516568.590309158</v>
      </c>
      <c r="D15" s="11" t="s">
        <v>3</v>
      </c>
      <c r="E15" s="1"/>
    </row>
    <row r="16" spans="1:5" x14ac:dyDescent="0.25">
      <c r="A16" s="1"/>
      <c r="B16" s="52" t="s">
        <v>117</v>
      </c>
      <c r="C16" s="53"/>
      <c r="D16" s="19"/>
      <c r="E16" s="1"/>
    </row>
    <row r="17" spans="1:5" x14ac:dyDescent="0.25">
      <c r="A17" s="1"/>
      <c r="B17" s="54" t="s">
        <v>118</v>
      </c>
      <c r="C17" s="10">
        <f>'Fane 7. Kontrol af ØR2022'!E33</f>
        <v>-3694868.5</v>
      </c>
      <c r="D17" s="11" t="s">
        <v>3</v>
      </c>
      <c r="E17" s="1"/>
    </row>
    <row r="18" spans="1:5" ht="15" customHeight="1" x14ac:dyDescent="0.25">
      <c r="A18" s="1"/>
      <c r="B18" s="26" t="s">
        <v>138</v>
      </c>
      <c r="C18" s="53"/>
      <c r="D18" s="19"/>
      <c r="E18" s="1"/>
    </row>
    <row r="19" spans="1:5" ht="15" customHeight="1" x14ac:dyDescent="0.25">
      <c r="A19" s="1"/>
      <c r="B19" s="72" t="s">
        <v>139</v>
      </c>
      <c r="C19" s="10">
        <f>'Fane 8. Skattesagen'!G14</f>
        <v>0</v>
      </c>
      <c r="D19" s="11" t="s">
        <v>3</v>
      </c>
      <c r="E19" s="1"/>
    </row>
    <row r="20" spans="1:5" x14ac:dyDescent="0.25">
      <c r="A20" s="1"/>
      <c r="B20" s="52" t="s">
        <v>143</v>
      </c>
      <c r="C20" s="12">
        <f>SUM(C13,C15,C17,C19)</f>
        <v>75053541.004246086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a+DXYenr7NpGzogJlSkLo2QTe/cgA8dqhaWal43wznqpBnU5aglYmPlJOP2JDiuS11M/tKKW4hTeSMuZAlQIQ==" saltValue="itKmredqU30LnlvU9P/UI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204</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34231840.913936928</v>
      </c>
      <c r="D8" s="8" t="s">
        <v>3</v>
      </c>
      <c r="E8" s="1"/>
    </row>
    <row r="9" spans="1:5" ht="15" customHeight="1" x14ac:dyDescent="0.25">
      <c r="A9" s="1"/>
      <c r="B9" s="29" t="s">
        <v>17</v>
      </c>
      <c r="C9" s="9">
        <f>SUM(C8:C8)*'Fane 13. Nøgletal'!C16</f>
        <v>2765932.7458461039</v>
      </c>
      <c r="D9" s="8" t="s">
        <v>3</v>
      </c>
      <c r="E9" s="1"/>
    </row>
    <row r="10" spans="1:5" ht="15" customHeight="1" x14ac:dyDescent="0.25">
      <c r="A10" s="1"/>
      <c r="B10" s="29" t="s">
        <v>9</v>
      </c>
      <c r="C10" s="9">
        <f>-SUM(C8:C9)*'Fane 5. Individuelt eff. krav'!G9</f>
        <v>-739955.47319566074</v>
      </c>
      <c r="D10" s="8" t="s">
        <v>3</v>
      </c>
      <c r="E10" s="1"/>
    </row>
    <row r="11" spans="1:5" ht="15" customHeight="1" x14ac:dyDescent="0.25">
      <c r="A11" s="1"/>
      <c r="B11" s="29" t="s">
        <v>22</v>
      </c>
      <c r="C11" s="9">
        <f>-'Fane 4.1. Gen. krav - drift'!G64</f>
        <v>-332118.88792037254</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35925699.298667006</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48113507.332406133</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72" t="s">
        <v>139</v>
      </c>
      <c r="C19" s="10">
        <f>'Fane 8. Skattesagen'!G15</f>
        <v>0</v>
      </c>
      <c r="D19" s="11" t="s">
        <v>3</v>
      </c>
      <c r="E19" s="1"/>
    </row>
    <row r="20" spans="1:5" x14ac:dyDescent="0.25">
      <c r="A20" s="1"/>
      <c r="B20" s="52" t="s">
        <v>205</v>
      </c>
      <c r="C20" s="12">
        <f>SUM(C13,C15,C17,C19)</f>
        <v>84039206.631073147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5iRwrYs+nKSM5eAqCDRyL+Pq0J+I6x7OOLuWyx7jq1v7Y1hM5Aev130pGZ3mirFoABmGtv9olF5/rlME1X0/yQ==" saltValue="upMD9VE7zMzP7oODHh8Wr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0" t="s">
        <v>201</v>
      </c>
      <c r="C3" s="100"/>
      <c r="D3" s="100"/>
      <c r="E3" s="1"/>
    </row>
    <row r="4" spans="1:5"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27316361.873464793</v>
      </c>
      <c r="D8" s="8" t="s">
        <v>3</v>
      </c>
      <c r="E8" s="1"/>
    </row>
    <row r="9" spans="1:5" x14ac:dyDescent="0.25">
      <c r="A9" s="1"/>
      <c r="B9" s="24" t="s">
        <v>33</v>
      </c>
      <c r="C9" s="7">
        <v>759614.6712000001</v>
      </c>
      <c r="D9" s="8" t="s">
        <v>3</v>
      </c>
      <c r="E9" s="1"/>
    </row>
    <row r="10" spans="1:5" x14ac:dyDescent="0.25">
      <c r="A10" s="1"/>
      <c r="B10" s="24" t="s">
        <v>34</v>
      </c>
      <c r="C10" s="9">
        <v>1195831.8533640001</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1042076.378969825</v>
      </c>
      <c r="D15" s="8" t="s">
        <v>3</v>
      </c>
      <c r="E15" s="1"/>
    </row>
    <row r="16" spans="1:5" x14ac:dyDescent="0.25">
      <c r="A16" s="1"/>
      <c r="B16" s="24" t="s">
        <v>9</v>
      </c>
      <c r="C16" s="9">
        <v>-606277.6955399724</v>
      </c>
      <c r="D16" s="8" t="s">
        <v>3</v>
      </c>
      <c r="E16" s="1"/>
    </row>
    <row r="17" spans="1:5" x14ac:dyDescent="0.25">
      <c r="A17" s="1"/>
      <c r="B17" s="24" t="s">
        <v>22</v>
      </c>
      <c r="C17" s="9">
        <v>-246364.23622123891</v>
      </c>
      <c r="D17" s="8" t="s">
        <v>3</v>
      </c>
      <c r="E17" s="1"/>
    </row>
    <row r="18" spans="1:5" x14ac:dyDescent="0.25">
      <c r="A18" s="1"/>
      <c r="B18" s="24" t="s">
        <v>23</v>
      </c>
      <c r="C18" s="9">
        <v>0</v>
      </c>
      <c r="D18" s="8" t="s">
        <v>3</v>
      </c>
      <c r="E18" s="1"/>
    </row>
    <row r="19" spans="1:5" x14ac:dyDescent="0.25">
      <c r="A19" s="1"/>
      <c r="B19" s="73" t="s">
        <v>19</v>
      </c>
      <c r="C19" s="10">
        <v>29461242.845237404</v>
      </c>
      <c r="D19" s="11" t="s">
        <v>3</v>
      </c>
      <c r="E19" s="1"/>
    </row>
    <row r="20" spans="1:5" x14ac:dyDescent="0.25">
      <c r="A20" s="1"/>
      <c r="B20" s="52" t="s">
        <v>11</v>
      </c>
      <c r="C20" s="53"/>
      <c r="D20" s="19"/>
      <c r="E20" s="1"/>
    </row>
    <row r="21" spans="1:5" x14ac:dyDescent="0.25">
      <c r="A21" s="1"/>
      <c r="B21" s="54" t="s">
        <v>11</v>
      </c>
      <c r="C21" s="10">
        <v>33280138.968354724</v>
      </c>
      <c r="D21" s="11" t="s">
        <v>3</v>
      </c>
      <c r="E21" s="1"/>
    </row>
    <row r="22" spans="1:5" x14ac:dyDescent="0.25">
      <c r="A22" s="1"/>
      <c r="B22" s="52" t="s">
        <v>75</v>
      </c>
      <c r="C22" s="53"/>
      <c r="D22" s="19"/>
      <c r="E22" s="1"/>
    </row>
    <row r="23" spans="1:5" x14ac:dyDescent="0.25">
      <c r="A23" s="1"/>
      <c r="B23" s="24" t="s">
        <v>71</v>
      </c>
      <c r="C23" s="9">
        <v>128106.22615200002</v>
      </c>
      <c r="D23" s="8" t="s">
        <v>3</v>
      </c>
      <c r="E23" s="1"/>
    </row>
    <row r="24" spans="1:5" x14ac:dyDescent="0.25">
      <c r="A24" s="1"/>
      <c r="B24" s="24" t="s">
        <v>72</v>
      </c>
      <c r="C24" s="9">
        <v>0</v>
      </c>
      <c r="D24" s="8" t="s">
        <v>3</v>
      </c>
      <c r="E24" s="1"/>
    </row>
    <row r="25" spans="1:5" x14ac:dyDescent="0.25">
      <c r="A25" s="1"/>
      <c r="B25" s="24" t="s">
        <v>164</v>
      </c>
      <c r="C25" s="9">
        <v>-5124.2490460800009</v>
      </c>
      <c r="D25" s="8" t="s">
        <v>3</v>
      </c>
      <c r="E25" s="1"/>
    </row>
    <row r="26" spans="1:5" x14ac:dyDescent="0.25">
      <c r="A26" s="1"/>
      <c r="B26" s="24" t="s">
        <v>165</v>
      </c>
      <c r="C26" s="9">
        <v>0</v>
      </c>
      <c r="D26" s="8" t="s">
        <v>3</v>
      </c>
      <c r="E26" s="1"/>
    </row>
    <row r="27" spans="1:5" x14ac:dyDescent="0.25">
      <c r="A27" s="1"/>
      <c r="B27" s="73" t="s">
        <v>76</v>
      </c>
      <c r="C27" s="57">
        <v>122981.97710592001</v>
      </c>
      <c r="D27" s="11" t="s">
        <v>3</v>
      </c>
      <c r="E27" s="1"/>
    </row>
    <row r="28" spans="1:5" x14ac:dyDescent="0.25">
      <c r="A28" s="1"/>
      <c r="B28" s="26" t="s">
        <v>117</v>
      </c>
      <c r="C28" s="53"/>
      <c r="D28" s="19"/>
      <c r="E28" s="1"/>
    </row>
    <row r="29" spans="1:5" x14ac:dyDescent="0.25">
      <c r="A29" s="1"/>
      <c r="B29" s="72" t="s">
        <v>118</v>
      </c>
      <c r="C29" s="10">
        <v>-445307.19943533838</v>
      </c>
      <c r="D29" s="11" t="s">
        <v>3</v>
      </c>
      <c r="E29" s="1"/>
    </row>
    <row r="30" spans="1:5" x14ac:dyDescent="0.25">
      <c r="A30" s="1"/>
      <c r="B30" s="26" t="s">
        <v>138</v>
      </c>
      <c r="C30" s="53"/>
      <c r="D30" s="19"/>
      <c r="E30" s="1"/>
    </row>
    <row r="31" spans="1:5" x14ac:dyDescent="0.25">
      <c r="A31" s="1"/>
      <c r="B31" s="72" t="s">
        <v>139</v>
      </c>
      <c r="C31" s="10">
        <v>0</v>
      </c>
      <c r="D31" s="11" t="s">
        <v>3</v>
      </c>
      <c r="E31" s="1"/>
    </row>
    <row r="32" spans="1:5" x14ac:dyDescent="0.25">
      <c r="A32" s="1"/>
      <c r="B32" s="52" t="s">
        <v>239</v>
      </c>
      <c r="C32" s="33">
        <v>62419056.591262713</v>
      </c>
      <c r="D32" s="19" t="s">
        <v>3</v>
      </c>
      <c r="E32" s="1"/>
    </row>
    <row r="33" spans="1:5" ht="30" customHeight="1" x14ac:dyDescent="0.25">
      <c r="A33" s="1"/>
      <c r="B33" s="99" t="s">
        <v>240</v>
      </c>
      <c r="C33" s="99"/>
      <c r="D33" s="9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4ikZJXbQazZxqgohRGY2d+elQcVcUBKFM5TIL0gnl8Cx0jnaWALaQtLHkcywIr33/AJliCM8WRE/vTnzv92DHA==" saltValue="IFFe76NiJbR6HXdyBeWyVQ=="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0" t="s">
        <v>90</v>
      </c>
      <c r="C1" s="100"/>
      <c r="D1" s="100"/>
      <c r="E1" s="100"/>
      <c r="F1" s="100"/>
      <c r="G1" s="100"/>
      <c r="H1" s="100"/>
      <c r="I1" s="1"/>
    </row>
    <row r="2" spans="1:9" ht="15" customHeight="1" x14ac:dyDescent="0.25">
      <c r="A2" s="1"/>
      <c r="B2" s="100"/>
      <c r="C2" s="100"/>
      <c r="D2" s="100"/>
      <c r="E2" s="100"/>
      <c r="F2" s="100"/>
      <c r="G2" s="100"/>
      <c r="H2" s="100"/>
      <c r="I2" s="1"/>
    </row>
    <row r="3" spans="1:9" ht="15" customHeight="1" x14ac:dyDescent="0.25">
      <c r="A3" s="1"/>
      <c r="B3" s="100"/>
      <c r="C3" s="100"/>
      <c r="D3" s="100"/>
      <c r="E3" s="100"/>
      <c r="F3" s="100"/>
      <c r="G3" s="100"/>
      <c r="H3" s="100"/>
      <c r="I3" s="1"/>
    </row>
    <row r="4" spans="1:9" x14ac:dyDescent="0.25">
      <c r="A4" s="1"/>
      <c r="B4" s="101" t="s">
        <v>44</v>
      </c>
      <c r="C4" s="102"/>
      <c r="D4" s="102"/>
      <c r="E4" s="102"/>
      <c r="F4" s="102"/>
      <c r="G4" s="102"/>
      <c r="H4" s="103"/>
      <c r="I4" s="1"/>
    </row>
    <row r="5" spans="1:9" x14ac:dyDescent="0.25">
      <c r="A5" s="1"/>
      <c r="B5" s="104" t="s">
        <v>36</v>
      </c>
      <c r="C5" s="105"/>
      <c r="D5" s="105"/>
      <c r="E5" s="105"/>
      <c r="F5" s="106"/>
      <c r="G5" s="47">
        <v>10646230.818906799</v>
      </c>
      <c r="H5" s="14" t="s">
        <v>3</v>
      </c>
      <c r="I5" s="1"/>
    </row>
    <row r="6" spans="1:9" x14ac:dyDescent="0.25">
      <c r="A6" s="1"/>
      <c r="B6" s="104" t="s">
        <v>37</v>
      </c>
      <c r="C6" s="105"/>
      <c r="D6" s="105"/>
      <c r="E6" s="105"/>
      <c r="F6" s="106"/>
      <c r="G6" s="22">
        <f>G5*'Fane 13. Nøgletal'!C33</f>
        <v>212924.61637813598</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101" t="s">
        <v>45</v>
      </c>
      <c r="C9" s="102"/>
      <c r="D9" s="102"/>
      <c r="E9" s="102"/>
      <c r="F9" s="102"/>
      <c r="G9" s="102"/>
      <c r="H9" s="103"/>
      <c r="I9" s="1"/>
    </row>
    <row r="10" spans="1:9" x14ac:dyDescent="0.25">
      <c r="A10" s="1"/>
      <c r="B10" s="104" t="s">
        <v>38</v>
      </c>
      <c r="C10" s="105"/>
      <c r="D10" s="105"/>
      <c r="E10" s="105"/>
      <c r="F10" s="106"/>
      <c r="G10" s="22">
        <f>(G5-G6)*(1+'Fane 13. Nøgletal'!C9)</f>
        <v>10565809.191300776</v>
      </c>
      <c r="H10" s="14" t="s">
        <v>3</v>
      </c>
      <c r="I10" s="1"/>
    </row>
    <row r="11" spans="1:9" x14ac:dyDescent="0.25">
      <c r="A11" s="1"/>
      <c r="B11" s="107" t="s">
        <v>228</v>
      </c>
      <c r="C11" s="108"/>
      <c r="D11" s="108"/>
      <c r="E11" s="108"/>
      <c r="F11" s="109"/>
      <c r="G11" s="47">
        <v>697840.93066875008</v>
      </c>
      <c r="H11" s="14" t="s">
        <v>3</v>
      </c>
      <c r="I11" s="1"/>
    </row>
    <row r="12" spans="1:9" x14ac:dyDescent="0.25">
      <c r="A12" s="1"/>
      <c r="B12" s="104" t="s">
        <v>39</v>
      </c>
      <c r="C12" s="105"/>
      <c r="D12" s="105"/>
      <c r="E12" s="105"/>
      <c r="F12" s="106"/>
      <c r="G12" s="22">
        <f>(G10+G11)*'Fane 13. Nøgletal'!C33</f>
        <v>225273.00243939055</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101" t="s">
        <v>46</v>
      </c>
      <c r="C15" s="102"/>
      <c r="D15" s="102"/>
      <c r="E15" s="102"/>
      <c r="F15" s="102"/>
      <c r="G15" s="102"/>
      <c r="H15" s="103"/>
      <c r="I15" s="1"/>
    </row>
    <row r="16" spans="1:9" x14ac:dyDescent="0.25">
      <c r="A16" s="1"/>
      <c r="B16" s="104" t="s">
        <v>40</v>
      </c>
      <c r="C16" s="105"/>
      <c r="D16" s="105"/>
      <c r="E16" s="105"/>
      <c r="F16" s="106"/>
      <c r="G16" s="22">
        <f>(G10+G11-G12)*(1+'Fane 13. Nøgletal'!C11)</f>
        <v>11224925.692850195</v>
      </c>
      <c r="H16" s="14" t="s">
        <v>3</v>
      </c>
      <c r="I16" s="1"/>
    </row>
    <row r="17" spans="1:9" x14ac:dyDescent="0.25">
      <c r="A17" s="1"/>
      <c r="B17" s="104" t="s">
        <v>100</v>
      </c>
      <c r="C17" s="105"/>
      <c r="D17" s="105"/>
      <c r="E17" s="105"/>
      <c r="F17" s="106"/>
      <c r="G17" s="47">
        <v>-123830.39076971594</v>
      </c>
      <c r="H17" s="14" t="s">
        <v>3</v>
      </c>
      <c r="I17" s="1"/>
    </row>
    <row r="18" spans="1:9" x14ac:dyDescent="0.25">
      <c r="A18" s="1"/>
      <c r="B18" s="107" t="s">
        <v>229</v>
      </c>
      <c r="C18" s="108"/>
      <c r="D18" s="108"/>
      <c r="E18" s="108"/>
      <c r="F18" s="109"/>
      <c r="G18" s="47">
        <v>65016.064557529986</v>
      </c>
      <c r="H18" s="14" t="s">
        <v>3</v>
      </c>
      <c r="I18" s="1"/>
    </row>
    <row r="19" spans="1:9" x14ac:dyDescent="0.25">
      <c r="A19" s="1"/>
      <c r="B19" s="104" t="s">
        <v>41</v>
      </c>
      <c r="C19" s="105"/>
      <c r="D19" s="105"/>
      <c r="E19" s="105"/>
      <c r="F19" s="106"/>
      <c r="G19" s="22">
        <f>SUM(G16:G18)*'Fane 13. Nøgletal'!C33</f>
        <v>223322.22733276017</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101" t="s">
        <v>47</v>
      </c>
      <c r="C22" s="102"/>
      <c r="D22" s="102"/>
      <c r="E22" s="102"/>
      <c r="F22" s="102"/>
      <c r="G22" s="102"/>
      <c r="H22" s="103"/>
      <c r="I22" s="1"/>
    </row>
    <row r="23" spans="1:9" x14ac:dyDescent="0.25">
      <c r="A23" s="1"/>
      <c r="B23" s="104" t="s">
        <v>42</v>
      </c>
      <c r="C23" s="105"/>
      <c r="D23" s="105"/>
      <c r="E23" s="105"/>
      <c r="F23" s="106"/>
      <c r="G23" s="22">
        <f>(SUM(G16:G18)-G19)*(1+'Fane 13. Nøgletal'!C11)</f>
        <v>11127722.275759507</v>
      </c>
      <c r="H23" s="14" t="s">
        <v>3</v>
      </c>
      <c r="I23" s="1"/>
    </row>
    <row r="24" spans="1:9" x14ac:dyDescent="0.25">
      <c r="A24" s="1"/>
      <c r="B24" s="107" t="s">
        <v>230</v>
      </c>
      <c r="C24" s="108"/>
      <c r="D24" s="108"/>
      <c r="E24" s="108"/>
      <c r="F24" s="109"/>
      <c r="G24" s="47">
        <v>-64792.539327581188</v>
      </c>
      <c r="H24" s="14" t="s">
        <v>3</v>
      </c>
      <c r="I24" s="1"/>
    </row>
    <row r="25" spans="1:9" x14ac:dyDescent="0.25">
      <c r="A25" s="1"/>
      <c r="B25" s="104" t="s">
        <v>43</v>
      </c>
      <c r="C25" s="105"/>
      <c r="D25" s="105"/>
      <c r="E25" s="105"/>
      <c r="F25" s="106"/>
      <c r="G25" s="22">
        <f>(G23+G24)*'Fane 13. Nøgletal'!C33</f>
        <v>221258.59472863853</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101" t="s">
        <v>121</v>
      </c>
      <c r="C28" s="102"/>
      <c r="D28" s="102"/>
      <c r="E28" s="102"/>
      <c r="F28" s="102"/>
      <c r="G28" s="102"/>
      <c r="H28" s="103"/>
      <c r="I28" s="1"/>
    </row>
    <row r="29" spans="1:9" x14ac:dyDescent="0.25">
      <c r="A29" s="1"/>
      <c r="B29" s="104" t="s">
        <v>50</v>
      </c>
      <c r="C29" s="105"/>
      <c r="D29" s="105"/>
      <c r="E29" s="105"/>
      <c r="F29" s="106"/>
      <c r="G29" s="22">
        <f>(G23+G24-G25)*(1+'Fane 13. Nøgletal'!C13)</f>
        <v>10973939.529632067</v>
      </c>
      <c r="H29" s="14" t="s">
        <v>3</v>
      </c>
      <c r="I29" s="1"/>
    </row>
    <row r="30" spans="1:9" x14ac:dyDescent="0.25">
      <c r="A30" s="1"/>
      <c r="B30" s="104" t="s">
        <v>231</v>
      </c>
      <c r="C30" s="105"/>
      <c r="D30" s="105"/>
      <c r="E30" s="105"/>
      <c r="F30" s="106"/>
      <c r="G30" s="47">
        <v>480592.29622068</v>
      </c>
      <c r="H30" s="14" t="s">
        <v>3</v>
      </c>
      <c r="I30" s="1"/>
    </row>
    <row r="31" spans="1:9" x14ac:dyDescent="0.25">
      <c r="A31" s="1"/>
      <c r="B31" s="104" t="s">
        <v>115</v>
      </c>
      <c r="C31" s="105"/>
      <c r="D31" s="105"/>
      <c r="E31" s="105"/>
      <c r="F31" s="106"/>
      <c r="G31" s="22">
        <f>(G29+G30)*'Fane 13. Nøgletal'!C33</f>
        <v>229090.63651705495</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101" t="s">
        <v>122</v>
      </c>
      <c r="C34" s="102"/>
      <c r="D34" s="102"/>
      <c r="E34" s="102"/>
      <c r="F34" s="102"/>
      <c r="G34" s="102"/>
      <c r="H34" s="103"/>
      <c r="I34" s="1"/>
    </row>
    <row r="35" spans="1:9" x14ac:dyDescent="0.25">
      <c r="A35" s="1"/>
      <c r="B35" s="104" t="s">
        <v>69</v>
      </c>
      <c r="C35" s="105"/>
      <c r="D35" s="105"/>
      <c r="E35" s="105"/>
      <c r="F35" s="106"/>
      <c r="G35" s="22">
        <f>(G29+G30-G31)*(1+'Fane 13. Nøgletal'!C13)</f>
        <v>11362391.571845587</v>
      </c>
      <c r="H35" s="14" t="s">
        <v>3</v>
      </c>
      <c r="I35" s="1"/>
    </row>
    <row r="36" spans="1:9" x14ac:dyDescent="0.25">
      <c r="A36" s="1"/>
      <c r="B36" s="104" t="s">
        <v>232</v>
      </c>
      <c r="C36" s="105"/>
      <c r="D36" s="105"/>
      <c r="E36" s="105"/>
      <c r="F36" s="106"/>
      <c r="G36" s="47">
        <v>0</v>
      </c>
      <c r="H36" s="14" t="s">
        <v>3</v>
      </c>
      <c r="I36" s="1"/>
    </row>
    <row r="37" spans="1:9" x14ac:dyDescent="0.25">
      <c r="A37" s="1"/>
      <c r="B37" s="104" t="s">
        <v>123</v>
      </c>
      <c r="C37" s="105"/>
      <c r="D37" s="105"/>
      <c r="E37" s="105"/>
      <c r="F37" s="106"/>
      <c r="G37" s="22">
        <f>(G35+G36)*'Fane 13. Nøgletal'!C33</f>
        <v>227247.83143691174</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101" t="s">
        <v>157</v>
      </c>
      <c r="C40" s="102"/>
      <c r="D40" s="102"/>
      <c r="E40" s="102"/>
      <c r="F40" s="102"/>
      <c r="G40" s="102"/>
      <c r="H40" s="103"/>
      <c r="I40" s="1"/>
    </row>
    <row r="41" spans="1:9" x14ac:dyDescent="0.25">
      <c r="A41" s="1"/>
      <c r="B41" s="104" t="s">
        <v>68</v>
      </c>
      <c r="C41" s="105"/>
      <c r="D41" s="105"/>
      <c r="E41" s="105"/>
      <c r="F41" s="106"/>
      <c r="G41" s="22">
        <f>(G35+G36-G37)*(1+'Fane 13. Nøgletal'!C15)</f>
        <v>11531554.857567225</v>
      </c>
      <c r="H41" s="14" t="s">
        <v>3</v>
      </c>
      <c r="I41" s="1"/>
    </row>
    <row r="42" spans="1:9" x14ac:dyDescent="0.25">
      <c r="A42" s="1"/>
      <c r="B42" s="104" t="s">
        <v>156</v>
      </c>
      <c r="C42" s="105"/>
      <c r="D42" s="105"/>
      <c r="E42" s="105"/>
      <c r="F42" s="106"/>
      <c r="G42" s="22">
        <v>786656.95349472016</v>
      </c>
      <c r="H42" s="14" t="s">
        <v>3</v>
      </c>
      <c r="I42" s="1"/>
    </row>
    <row r="43" spans="1:9" x14ac:dyDescent="0.25">
      <c r="A43" s="1"/>
      <c r="B43" s="104" t="s">
        <v>166</v>
      </c>
      <c r="C43" s="105"/>
      <c r="D43" s="105"/>
      <c r="E43" s="105"/>
      <c r="F43" s="106"/>
      <c r="G43" s="22">
        <f>(G41+G42)*'Fane 13. Nøgletal'!C33</f>
        <v>246364.23622123891</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101" t="s">
        <v>158</v>
      </c>
      <c r="C46" s="102"/>
      <c r="D46" s="102"/>
      <c r="E46" s="102"/>
      <c r="F46" s="102"/>
      <c r="G46" s="102"/>
      <c r="H46" s="103"/>
      <c r="I46" s="1"/>
    </row>
    <row r="47" spans="1:9" x14ac:dyDescent="0.25">
      <c r="A47" s="1"/>
      <c r="B47" s="104" t="s">
        <v>112</v>
      </c>
      <c r="C47" s="105"/>
      <c r="D47" s="105"/>
      <c r="E47" s="105"/>
      <c r="F47" s="106"/>
      <c r="G47" s="22">
        <f>(G41+G42-G43)*(1+'Fane 13. Nøgletal'!C15)</f>
        <v>12501605.348505035</v>
      </c>
      <c r="H47" s="14" t="s">
        <v>3</v>
      </c>
      <c r="I47" s="1"/>
    </row>
    <row r="48" spans="1:9" x14ac:dyDescent="0.25">
      <c r="A48" s="1"/>
      <c r="B48" s="104" t="s">
        <v>206</v>
      </c>
      <c r="C48" s="105"/>
      <c r="D48" s="105"/>
      <c r="E48" s="105"/>
      <c r="F48" s="106"/>
      <c r="G48" s="22">
        <f>('Fane 2.1. Økonomisk ramme 2024'!C9+'Fane 2.1. Økonomisk ramme 2024'!C11+'Fane 2.1. Økonomisk ramme 2024'!C13)*(1+'Fane 13. Nøgletal'!C16)</f>
        <v>1473315.09661504</v>
      </c>
      <c r="H48" s="14" t="s">
        <v>3</v>
      </c>
      <c r="I48" s="1"/>
    </row>
    <row r="49" spans="1:9" x14ac:dyDescent="0.25">
      <c r="A49" s="1"/>
      <c r="B49" s="104" t="s">
        <v>167</v>
      </c>
      <c r="C49" s="105"/>
      <c r="D49" s="105"/>
      <c r="E49" s="105"/>
      <c r="F49" s="106"/>
      <c r="G49" s="22">
        <f>G47*'Fane 13. Nøgletal'!C33+G48*'Fane 13. Nøgletal'!C33</f>
        <v>279498.40890240151</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101" t="s">
        <v>133</v>
      </c>
      <c r="C52" s="102"/>
      <c r="D52" s="102"/>
      <c r="E52" s="102"/>
      <c r="F52" s="102"/>
      <c r="G52" s="102"/>
      <c r="H52" s="103"/>
      <c r="I52" s="1"/>
    </row>
    <row r="53" spans="1:9" x14ac:dyDescent="0.25">
      <c r="A53" s="1"/>
      <c r="B53" s="104" t="s">
        <v>134</v>
      </c>
      <c r="C53" s="105"/>
      <c r="D53" s="105"/>
      <c r="E53" s="105"/>
      <c r="F53" s="106"/>
      <c r="G53" s="22">
        <f>(G47+G48-G49)*(1+'Fane 13. Nøgletal'!C16)</f>
        <v>14802012.136744063</v>
      </c>
      <c r="H53" s="14" t="s">
        <v>3</v>
      </c>
      <c r="I53" s="1"/>
    </row>
    <row r="54" spans="1:9" x14ac:dyDescent="0.25">
      <c r="A54" s="1"/>
      <c r="B54" s="104" t="s">
        <v>135</v>
      </c>
      <c r="C54" s="105"/>
      <c r="D54" s="105"/>
      <c r="E54" s="105"/>
      <c r="F54" s="106"/>
      <c r="G54" s="22">
        <f>(G53)*'Fane 13. Nøgletal'!C33</f>
        <v>296040.24273488129</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101" t="s">
        <v>144</v>
      </c>
      <c r="C57" s="102"/>
      <c r="D57" s="102"/>
      <c r="E57" s="102"/>
      <c r="F57" s="102"/>
      <c r="G57" s="102"/>
      <c r="H57" s="103"/>
      <c r="I57" s="1"/>
    </row>
    <row r="58" spans="1:9" x14ac:dyDescent="0.25">
      <c r="A58" s="1"/>
      <c r="B58" s="104" t="s">
        <v>145</v>
      </c>
      <c r="C58" s="105"/>
      <c r="D58" s="105"/>
      <c r="E58" s="105"/>
      <c r="F58" s="106"/>
      <c r="G58" s="22">
        <f>(G53-G54)*(1+'Fane 13. Nøgletal'!C16)</f>
        <v>15678054.423045123</v>
      </c>
      <c r="H58" s="14" t="s">
        <v>3</v>
      </c>
      <c r="I58" s="1"/>
    </row>
    <row r="59" spans="1:9" x14ac:dyDescent="0.25">
      <c r="A59" s="1"/>
      <c r="B59" s="104" t="s">
        <v>146</v>
      </c>
      <c r="C59" s="105"/>
      <c r="D59" s="105"/>
      <c r="E59" s="105"/>
      <c r="F59" s="106"/>
      <c r="G59" s="22">
        <f>(G58)*'Fane 13. Nøgletal'!C33</f>
        <v>313561.08846090245</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101" t="s">
        <v>220</v>
      </c>
      <c r="C62" s="102"/>
      <c r="D62" s="102"/>
      <c r="E62" s="102"/>
      <c r="F62" s="102"/>
      <c r="G62" s="102"/>
      <c r="H62" s="103"/>
      <c r="I62" s="1"/>
    </row>
    <row r="63" spans="1:9" x14ac:dyDescent="0.25">
      <c r="A63" s="1"/>
      <c r="B63" s="104" t="s">
        <v>221</v>
      </c>
      <c r="C63" s="105"/>
      <c r="D63" s="105"/>
      <c r="E63" s="105"/>
      <c r="F63" s="106"/>
      <c r="G63" s="22">
        <f>(G58-G59)*(1+'Fane 13. Nøgletal'!C16)</f>
        <v>16605944.396018626</v>
      </c>
      <c r="H63" s="14" t="s">
        <v>3</v>
      </c>
      <c r="I63" s="1"/>
    </row>
    <row r="64" spans="1:9" x14ac:dyDescent="0.25">
      <c r="A64" s="1"/>
      <c r="B64" s="104" t="s">
        <v>222</v>
      </c>
      <c r="C64" s="105"/>
      <c r="D64" s="105"/>
      <c r="E64" s="105"/>
      <c r="F64" s="106"/>
      <c r="G64" s="22">
        <f>(G63)*'Fane 13. Nøgletal'!C33</f>
        <v>332118.88792037254</v>
      </c>
      <c r="H64" s="14" t="s">
        <v>3</v>
      </c>
      <c r="I64" s="1"/>
    </row>
    <row r="65" spans="1:9" x14ac:dyDescent="0.25">
      <c r="A65" s="1"/>
      <c r="B65" s="52"/>
      <c r="C65" s="53"/>
      <c r="D65" s="53"/>
      <c r="E65" s="53"/>
      <c r="F65" s="53"/>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rzH31it6PDwRXLX7wVVyvQE4EhRb5Hae82UO8zGWENLbcJgCzIjMfpJuZHQWgdqo/35tzs++HzoF7AIgpbzK2g==" saltValue="ManuHLLBckO0s2ELfeiRGQ=="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0" t="s">
        <v>91</v>
      </c>
      <c r="C1" s="111"/>
      <c r="D1" s="111"/>
      <c r="E1" s="111"/>
      <c r="F1" s="111"/>
      <c r="G1" s="111"/>
      <c r="H1" s="111"/>
      <c r="I1" s="1"/>
    </row>
    <row r="2" spans="1:9" ht="19.899999999999999" customHeight="1" x14ac:dyDescent="0.25">
      <c r="A2" s="1"/>
      <c r="B2" s="111"/>
      <c r="C2" s="111"/>
      <c r="D2" s="111"/>
      <c r="E2" s="111"/>
      <c r="F2" s="111"/>
      <c r="G2" s="111"/>
      <c r="H2" s="111"/>
      <c r="I2" s="1"/>
    </row>
    <row r="3" spans="1:9" ht="15" customHeight="1" x14ac:dyDescent="0.25">
      <c r="A3" s="1"/>
      <c r="B3" s="112"/>
      <c r="C3" s="112"/>
      <c r="D3" s="112"/>
      <c r="E3" s="112"/>
      <c r="F3" s="112"/>
      <c r="G3" s="112"/>
      <c r="H3" s="112"/>
      <c r="I3" s="1"/>
    </row>
    <row r="4" spans="1:9" x14ac:dyDescent="0.25">
      <c r="A4" s="1"/>
      <c r="B4" s="101" t="s">
        <v>48</v>
      </c>
      <c r="C4" s="102"/>
      <c r="D4" s="102"/>
      <c r="E4" s="102"/>
      <c r="F4" s="102"/>
      <c r="G4" s="102"/>
      <c r="H4" s="103"/>
      <c r="I4" s="1"/>
    </row>
    <row r="5" spans="1:9" x14ac:dyDescent="0.25">
      <c r="A5" s="1"/>
      <c r="B5" s="104" t="s">
        <v>51</v>
      </c>
      <c r="C5" s="105"/>
      <c r="D5" s="105"/>
      <c r="E5" s="105"/>
      <c r="F5" s="106"/>
      <c r="G5" s="47">
        <v>14485768.204734059</v>
      </c>
      <c r="H5" s="14" t="s">
        <v>3</v>
      </c>
      <c r="I5" s="1"/>
    </row>
    <row r="6" spans="1:9" x14ac:dyDescent="0.25">
      <c r="A6" s="1"/>
      <c r="B6" s="104" t="s">
        <v>49</v>
      </c>
      <c r="C6" s="105"/>
      <c r="D6" s="105"/>
      <c r="E6" s="105"/>
      <c r="F6" s="106"/>
      <c r="G6" s="22">
        <f>G5*'Fane 13. Nøgletal'!C21</f>
        <v>131820.49066307995</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101" t="s">
        <v>52</v>
      </c>
      <c r="C9" s="102"/>
      <c r="D9" s="102"/>
      <c r="E9" s="102"/>
      <c r="F9" s="102"/>
      <c r="G9" s="102"/>
      <c r="H9" s="103"/>
      <c r="I9" s="1"/>
    </row>
    <row r="10" spans="1:9" x14ac:dyDescent="0.25">
      <c r="A10" s="1"/>
      <c r="B10" s="104" t="s">
        <v>53</v>
      </c>
      <c r="C10" s="105"/>
      <c r="D10" s="105"/>
      <c r="E10" s="105"/>
      <c r="F10" s="106"/>
      <c r="G10" s="22">
        <f>(G5-G6)*(1+'Fane 13. Nøgletal'!C9)</f>
        <v>14536242.85003968</v>
      </c>
      <c r="H10" s="14" t="s">
        <v>3</v>
      </c>
      <c r="I10" s="1"/>
    </row>
    <row r="11" spans="1:9" x14ac:dyDescent="0.25">
      <c r="A11" s="1"/>
      <c r="B11" s="107" t="s">
        <v>54</v>
      </c>
      <c r="C11" s="108"/>
      <c r="D11" s="108"/>
      <c r="E11" s="108"/>
      <c r="F11" s="109"/>
      <c r="G11" s="48">
        <v>2177089.6065875003</v>
      </c>
      <c r="H11" s="14" t="s">
        <v>3</v>
      </c>
      <c r="I11" s="1"/>
    </row>
    <row r="12" spans="1:9" x14ac:dyDescent="0.25">
      <c r="A12" s="1"/>
      <c r="B12" s="104" t="s">
        <v>55</v>
      </c>
      <c r="C12" s="105"/>
      <c r="D12" s="105"/>
      <c r="E12" s="105"/>
      <c r="F12" s="106"/>
      <c r="G12" s="22">
        <f>G10*'Fane 13. Nøgletal'!C21+G11*'Fane 13. Nøgletal'!C22</f>
        <v>170814.29597195983</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101" t="s">
        <v>56</v>
      </c>
      <c r="C15" s="102"/>
      <c r="D15" s="102"/>
      <c r="E15" s="102"/>
      <c r="F15" s="102"/>
      <c r="G15" s="102"/>
      <c r="H15" s="103"/>
      <c r="I15" s="1"/>
    </row>
    <row r="16" spans="1:9" x14ac:dyDescent="0.25">
      <c r="A16" s="1"/>
      <c r="B16" s="104" t="s">
        <v>57</v>
      </c>
      <c r="C16" s="105"/>
      <c r="D16" s="105"/>
      <c r="E16" s="105"/>
      <c r="F16" s="106"/>
      <c r="G16" s="22">
        <f>(G10+G11-G12)*(1+'Fane 13. Nøgletal'!C11)</f>
        <v>16822086.71757029</v>
      </c>
      <c r="H16" s="14" t="s">
        <v>3</v>
      </c>
      <c r="I16" s="1"/>
    </row>
    <row r="17" spans="1:9" x14ac:dyDescent="0.25">
      <c r="A17" s="1"/>
      <c r="B17" s="104" t="s">
        <v>101</v>
      </c>
      <c r="C17" s="105"/>
      <c r="D17" s="105"/>
      <c r="E17" s="105"/>
      <c r="F17" s="106"/>
      <c r="G17" s="47">
        <v>60818.751125484989</v>
      </c>
      <c r="H17" s="14" t="s">
        <v>3</v>
      </c>
      <c r="I17" s="1"/>
    </row>
    <row r="18" spans="1:9" x14ac:dyDescent="0.25">
      <c r="A18" s="1"/>
      <c r="B18" s="107" t="s">
        <v>58</v>
      </c>
      <c r="C18" s="108"/>
      <c r="D18" s="108"/>
      <c r="E18" s="108"/>
      <c r="F18" s="109"/>
      <c r="G18" s="47">
        <v>1240628.6993133498</v>
      </c>
      <c r="H18" s="14" t="s">
        <v>3</v>
      </c>
      <c r="I18" s="1"/>
    </row>
    <row r="19" spans="1:9" x14ac:dyDescent="0.25">
      <c r="A19" s="1"/>
      <c r="B19" s="104" t="s">
        <v>59</v>
      </c>
      <c r="C19" s="105"/>
      <c r="D19" s="105"/>
      <c r="E19" s="105"/>
      <c r="F19" s="106"/>
      <c r="G19" s="22">
        <f>(G16+G17+G18)*'Fane 13. Nøgletal'!C23</f>
        <v>157674.74726167938</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101" t="s">
        <v>60</v>
      </c>
      <c r="C22" s="102"/>
      <c r="D22" s="102"/>
      <c r="E22" s="102"/>
      <c r="F22" s="102"/>
      <c r="G22" s="102"/>
      <c r="H22" s="103"/>
      <c r="I22" s="1"/>
    </row>
    <row r="23" spans="1:9" x14ac:dyDescent="0.25">
      <c r="A23" s="1"/>
      <c r="B23" s="104" t="s">
        <v>61</v>
      </c>
      <c r="C23" s="105"/>
      <c r="D23" s="105"/>
      <c r="E23" s="105"/>
      <c r="F23" s="106"/>
      <c r="G23" s="22">
        <f>(SUM(G16:G18)-G19)*(1+'Fane 13. Nøgletal'!C11)</f>
        <v>18269482.444958076</v>
      </c>
      <c r="H23" s="14" t="s">
        <v>3</v>
      </c>
      <c r="I23" s="1"/>
    </row>
    <row r="24" spans="1:9" x14ac:dyDescent="0.25">
      <c r="A24" s="1"/>
      <c r="B24" s="107" t="s">
        <v>62</v>
      </c>
      <c r="C24" s="108"/>
      <c r="D24" s="108"/>
      <c r="E24" s="108"/>
      <c r="F24" s="109"/>
      <c r="G24" s="47">
        <v>244960.71681687667</v>
      </c>
      <c r="H24" s="14" t="s">
        <v>3</v>
      </c>
      <c r="I24" s="1"/>
    </row>
    <row r="25" spans="1:9" x14ac:dyDescent="0.25">
      <c r="A25" s="1"/>
      <c r="B25" s="104" t="s">
        <v>63</v>
      </c>
      <c r="C25" s="105"/>
      <c r="D25" s="105"/>
      <c r="E25" s="105"/>
      <c r="F25" s="106"/>
      <c r="G25" s="22">
        <f>G23*'Fane 13. Nøgletal'!C23+G24*'Fane 13. Nøgletal'!C24</f>
        <v>165901.38162873455</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101" t="s">
        <v>119</v>
      </c>
      <c r="C28" s="102"/>
      <c r="D28" s="102"/>
      <c r="E28" s="102"/>
      <c r="F28" s="102"/>
      <c r="G28" s="102"/>
      <c r="H28" s="103"/>
      <c r="I28" s="1"/>
    </row>
    <row r="29" spans="1:9" x14ac:dyDescent="0.25">
      <c r="A29" s="1"/>
      <c r="B29" s="104" t="s">
        <v>64</v>
      </c>
      <c r="C29" s="105"/>
      <c r="D29" s="105"/>
      <c r="E29" s="105"/>
      <c r="F29" s="106"/>
      <c r="G29" s="22">
        <f>(G23+G24-G25)*(1+'Fane 13. Nøgletal'!C13)</f>
        <v>18572393.989864003</v>
      </c>
      <c r="H29" s="14" t="s">
        <v>3</v>
      </c>
      <c r="I29" s="1"/>
    </row>
    <row r="30" spans="1:9" x14ac:dyDescent="0.25">
      <c r="A30" s="1"/>
      <c r="B30" s="104" t="s">
        <v>113</v>
      </c>
      <c r="C30" s="105"/>
      <c r="D30" s="105"/>
      <c r="E30" s="105"/>
      <c r="F30" s="106"/>
      <c r="G30" s="47">
        <v>697211.63291304</v>
      </c>
      <c r="H30" s="14" t="s">
        <v>3</v>
      </c>
      <c r="I30" s="1"/>
    </row>
    <row r="31" spans="1:9" x14ac:dyDescent="0.25">
      <c r="A31" s="1"/>
      <c r="B31" s="104" t="s">
        <v>120</v>
      </c>
      <c r="C31" s="105"/>
      <c r="D31" s="105"/>
      <c r="E31" s="105"/>
      <c r="F31" s="106"/>
      <c r="G31" s="22">
        <f>(G29+G30)*'Fane 13. Nøgletal'!C25</f>
        <v>529914.15462636878</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101" t="s">
        <v>124</v>
      </c>
      <c r="C34" s="102"/>
      <c r="D34" s="102"/>
      <c r="E34" s="102"/>
      <c r="F34" s="102"/>
      <c r="G34" s="102"/>
      <c r="H34" s="103"/>
      <c r="I34" s="1"/>
    </row>
    <row r="35" spans="1:9" x14ac:dyDescent="0.25">
      <c r="A35" s="1"/>
      <c r="B35" s="104" t="s">
        <v>67</v>
      </c>
      <c r="C35" s="105"/>
      <c r="D35" s="105"/>
      <c r="E35" s="105"/>
      <c r="F35" s="106"/>
      <c r="G35" s="22">
        <f>(G29+G30-G31)*(1+'Fane 13. Nøgletal'!C13)</f>
        <v>18968315.704062112</v>
      </c>
      <c r="H35" s="14" t="s">
        <v>3</v>
      </c>
      <c r="I35" s="1"/>
    </row>
    <row r="36" spans="1:9" x14ac:dyDescent="0.25">
      <c r="A36" s="1"/>
      <c r="B36" s="104" t="s">
        <v>129</v>
      </c>
      <c r="C36" s="105"/>
      <c r="D36" s="105"/>
      <c r="E36" s="105"/>
      <c r="F36" s="106"/>
      <c r="G36" s="22">
        <v>488465.9872596201</v>
      </c>
      <c r="H36" s="14" t="s">
        <v>3</v>
      </c>
      <c r="I36" s="1"/>
    </row>
    <row r="37" spans="1:9" x14ac:dyDescent="0.25">
      <c r="A37" s="1"/>
      <c r="B37" s="104" t="s">
        <v>125</v>
      </c>
      <c r="C37" s="105"/>
      <c r="D37" s="105"/>
      <c r="E37" s="105"/>
      <c r="F37" s="106"/>
      <c r="G37" s="22">
        <f>G35*'Fane 13. Nøgletal'!C25+G36*'Fane 13. Nøgletal'!C26</f>
        <v>528857.9784731504</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101" t="s">
        <v>159</v>
      </c>
      <c r="C40" s="102"/>
      <c r="D40" s="102"/>
      <c r="E40" s="102"/>
      <c r="F40" s="102"/>
      <c r="G40" s="102"/>
      <c r="H40" s="103"/>
      <c r="I40" s="1"/>
    </row>
    <row r="41" spans="1:9" x14ac:dyDescent="0.25">
      <c r="A41" s="1"/>
      <c r="B41" s="104" t="s">
        <v>66</v>
      </c>
      <c r="C41" s="105"/>
      <c r="D41" s="105"/>
      <c r="E41" s="105"/>
      <c r="F41" s="106"/>
      <c r="G41" s="22">
        <f>(G35+G36-G37)*(1+'Fane 13. Nøgletal'!C15)</f>
        <v>19601757.797025993</v>
      </c>
      <c r="H41" s="14" t="s">
        <v>3</v>
      </c>
      <c r="I41" s="1"/>
    </row>
    <row r="42" spans="1:9" x14ac:dyDescent="0.25">
      <c r="A42" s="1"/>
      <c r="B42" s="104" t="s">
        <v>169</v>
      </c>
      <c r="C42" s="105"/>
      <c r="D42" s="105"/>
      <c r="E42" s="105"/>
      <c r="F42" s="106"/>
      <c r="G42" s="9">
        <v>1238403.4673437586</v>
      </c>
      <c r="H42" s="14" t="s">
        <v>3</v>
      </c>
      <c r="I42" s="1"/>
    </row>
    <row r="43" spans="1:9" x14ac:dyDescent="0.25">
      <c r="A43" s="1"/>
      <c r="B43" s="104" t="s">
        <v>65</v>
      </c>
      <c r="C43" s="105"/>
      <c r="D43" s="105"/>
      <c r="E43" s="105"/>
      <c r="F43" s="106"/>
      <c r="G43" s="56">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101" t="s">
        <v>160</v>
      </c>
      <c r="C46" s="102"/>
      <c r="D46" s="102"/>
      <c r="E46" s="102"/>
      <c r="F46" s="102"/>
      <c r="G46" s="102"/>
      <c r="H46" s="103"/>
      <c r="I46" s="1"/>
    </row>
    <row r="47" spans="1:9" x14ac:dyDescent="0.25">
      <c r="A47" s="1"/>
      <c r="B47" s="104" t="s">
        <v>114</v>
      </c>
      <c r="C47" s="105"/>
      <c r="D47" s="105"/>
      <c r="E47" s="105"/>
      <c r="F47" s="106"/>
      <c r="G47" s="22">
        <f>(G41+G42-G43)*(1+'Fane 13. Nøgletal'!C15)</f>
        <v>21582071.005381316</v>
      </c>
      <c r="H47" s="14" t="s">
        <v>3</v>
      </c>
      <c r="I47" s="1"/>
    </row>
    <row r="48" spans="1:9" x14ac:dyDescent="0.25">
      <c r="A48" s="1"/>
      <c r="B48" s="104" t="s">
        <v>210</v>
      </c>
      <c r="C48" s="105"/>
      <c r="D48" s="105"/>
      <c r="E48" s="105"/>
      <c r="F48" s="106"/>
      <c r="G48" s="22">
        <f>('Fane 2.1. Økonomisk ramme 2024'!C10+'Fane 2.1. Økonomisk ramme 2024'!C12+'Fane 2.1. Økonomisk ramme 2024'!C14)*(1+'Fane 13. Nøgletal'!C16)</f>
        <v>8124.3346911999997</v>
      </c>
      <c r="H48" s="14" t="s">
        <v>3</v>
      </c>
      <c r="I48" s="1"/>
    </row>
    <row r="49" spans="1:9" x14ac:dyDescent="0.25">
      <c r="A49" s="1"/>
      <c r="B49" s="104" t="s">
        <v>211</v>
      </c>
      <c r="C49" s="105"/>
      <c r="D49" s="105"/>
      <c r="E49" s="105"/>
      <c r="F49" s="106"/>
      <c r="G49" s="56">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101" t="s">
        <v>130</v>
      </c>
      <c r="C52" s="102"/>
      <c r="D52" s="102"/>
      <c r="E52" s="102"/>
      <c r="F52" s="102"/>
      <c r="G52" s="102"/>
      <c r="H52" s="103"/>
      <c r="I52" s="1"/>
    </row>
    <row r="53" spans="1:9" x14ac:dyDescent="0.25">
      <c r="A53" s="1"/>
      <c r="B53" s="104" t="s">
        <v>131</v>
      </c>
      <c r="C53" s="105"/>
      <c r="D53" s="105"/>
      <c r="E53" s="105"/>
      <c r="F53" s="106"/>
      <c r="G53" s="22">
        <f>(G47+G48-G49)*(1+'Fane 13. Nøgletal'!C16)</f>
        <v>23334683.123550374</v>
      </c>
      <c r="H53" s="14" t="s">
        <v>3</v>
      </c>
      <c r="I53" s="1"/>
    </row>
    <row r="54" spans="1:9" x14ac:dyDescent="0.25">
      <c r="A54" s="1"/>
      <c r="B54" s="104" t="s">
        <v>132</v>
      </c>
      <c r="C54" s="105"/>
      <c r="D54" s="105"/>
      <c r="E54" s="105"/>
      <c r="F54" s="106"/>
      <c r="G54" s="56">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101" t="s">
        <v>147</v>
      </c>
      <c r="C57" s="102"/>
      <c r="D57" s="102"/>
      <c r="E57" s="102"/>
      <c r="F57" s="102"/>
      <c r="G57" s="102"/>
      <c r="H57" s="103"/>
      <c r="I57" s="1"/>
    </row>
    <row r="58" spans="1:9" x14ac:dyDescent="0.25">
      <c r="A58" s="1"/>
      <c r="B58" s="104" t="s">
        <v>148</v>
      </c>
      <c r="C58" s="105"/>
      <c r="D58" s="105"/>
      <c r="E58" s="105"/>
      <c r="F58" s="106"/>
      <c r="G58" s="22">
        <f>(G53-G54)*(1+'Fane 13. Nøgletal'!C16)</f>
        <v>25220125.519933242</v>
      </c>
      <c r="H58" s="14" t="s">
        <v>3</v>
      </c>
      <c r="I58" s="1"/>
    </row>
    <row r="59" spans="1:9" x14ac:dyDescent="0.25">
      <c r="A59" s="1"/>
      <c r="B59" s="104" t="s">
        <v>149</v>
      </c>
      <c r="C59" s="105"/>
      <c r="D59" s="105"/>
      <c r="E59" s="105"/>
      <c r="F59" s="106"/>
      <c r="G59" s="56">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101" t="s">
        <v>223</v>
      </c>
      <c r="C62" s="102"/>
      <c r="D62" s="102"/>
      <c r="E62" s="102"/>
      <c r="F62" s="102"/>
      <c r="G62" s="102"/>
      <c r="H62" s="103"/>
      <c r="I62" s="1"/>
    </row>
    <row r="63" spans="1:9" x14ac:dyDescent="0.25">
      <c r="A63" s="1"/>
      <c r="B63" s="104" t="s">
        <v>224</v>
      </c>
      <c r="C63" s="105"/>
      <c r="D63" s="105"/>
      <c r="E63" s="105"/>
      <c r="F63" s="106"/>
      <c r="G63" s="22">
        <f>(G58-G59)*(1+'Fane 13. Nøgletal'!C16)</f>
        <v>27257911.661943849</v>
      </c>
      <c r="H63" s="14" t="s">
        <v>3</v>
      </c>
      <c r="I63" s="1"/>
    </row>
    <row r="64" spans="1:9" x14ac:dyDescent="0.25">
      <c r="A64" s="1"/>
      <c r="B64" s="104" t="s">
        <v>225</v>
      </c>
      <c r="C64" s="105"/>
      <c r="D64" s="105"/>
      <c r="E64" s="105"/>
      <c r="F64" s="106"/>
      <c r="G64" s="56">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3g8GHctGDuxno3btc0WB5pD91bV81lEKqlUPyEdkO999lIxD7fVqMAcEfvQZh38PCj/7CjaQx1C3RotHKmKLVQ==" saltValue="Dr29H75FEuWIYrvsoImehw=="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7" t="s">
        <v>77</v>
      </c>
      <c r="C3" s="97"/>
      <c r="D3" s="97"/>
      <c r="E3" s="97"/>
      <c r="F3" s="97"/>
      <c r="G3" s="97"/>
      <c r="H3" s="1"/>
    </row>
    <row r="4" spans="1:8" ht="15" customHeight="1" x14ac:dyDescent="0.25">
      <c r="A4" s="1"/>
      <c r="B4" s="97"/>
      <c r="C4" s="97"/>
      <c r="D4" s="97"/>
      <c r="E4" s="97"/>
      <c r="F4" s="97"/>
      <c r="G4" s="9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1" t="s">
        <v>9</v>
      </c>
      <c r="C8" s="102"/>
      <c r="D8" s="102"/>
      <c r="E8" s="102"/>
      <c r="F8" s="102"/>
      <c r="G8" s="103"/>
      <c r="H8" s="1"/>
    </row>
    <row r="9" spans="1:8" x14ac:dyDescent="0.25">
      <c r="A9" s="1"/>
      <c r="B9" s="65" t="s">
        <v>150</v>
      </c>
      <c r="C9" s="66"/>
      <c r="D9" s="66"/>
      <c r="E9" s="66"/>
      <c r="F9" s="67"/>
      <c r="G9" s="51">
        <v>0.02</v>
      </c>
      <c r="H9" s="1"/>
    </row>
    <row r="10" spans="1:8" x14ac:dyDescent="0.25">
      <c r="A10" s="1"/>
      <c r="B10" s="52"/>
      <c r="C10" s="53"/>
      <c r="D10" s="53"/>
      <c r="E10" s="53"/>
      <c r="F10" s="53"/>
      <c r="G10" s="19"/>
      <c r="H10" s="1"/>
    </row>
    <row r="11" spans="1:8" ht="15" customHeight="1" x14ac:dyDescent="0.25">
      <c r="A11" s="1"/>
      <c r="B11" s="113" t="s">
        <v>236</v>
      </c>
      <c r="C11" s="114"/>
      <c r="D11" s="114"/>
      <c r="E11" s="114"/>
      <c r="F11" s="114"/>
      <c r="G11" s="115"/>
      <c r="H11" s="1"/>
    </row>
    <row r="12" spans="1:8" ht="13.5" customHeight="1" x14ac:dyDescent="0.25">
      <c r="A12" s="1"/>
      <c r="B12" s="116"/>
      <c r="C12" s="117"/>
      <c r="D12" s="117"/>
      <c r="E12" s="117"/>
      <c r="F12" s="117"/>
      <c r="G12" s="11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w0E4OS+OZn2QaJhd9Mi5yyK0SKEhddUrj/7jB0a7IQeCGQNVQf69G8tFF4vC1k9kRBcQXLGMmAu9/XsVuXIEaw==" saltValue="8VpdDTc0GN2icZOe+VGaGQ=="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2023-11-30T13:07:43Z</dcterms:modified>
</cp:coreProperties>
</file>