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Lemvig Vand &amp; Spildevand AS (V120)\ØR2024\"/>
    </mc:Choice>
  </mc:AlternateContent>
  <xr:revisionPtr revIDLastSave="0" documentId="13_ncr:1_{F6D5A52E-5348-4F31-A9FD-535441CB394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9" i="19" l="1"/>
  <c r="E23" i="41" l="1"/>
  <c r="E27" i="41" s="1"/>
  <c r="C29" i="2" s="1"/>
  <c r="E31" i="41" l="1"/>
  <c r="E33" i="41" s="1"/>
  <c r="C8" i="2"/>
  <c r="C17" i="22" l="1"/>
  <c r="C17" i="15"/>
  <c r="C13" i="29"/>
  <c r="C14" i="29" s="1"/>
  <c r="E14" i="39" l="1"/>
  <c r="C14" i="39"/>
  <c r="C31" i="2" l="1"/>
  <c r="E15" i="39" l="1"/>
  <c r="C15" i="39"/>
  <c r="J11" i="11"/>
  <c r="H11" i="11"/>
  <c r="F11" i="11" l="1"/>
  <c r="C19" i="23" l="1"/>
  <c r="C19" i="22"/>
  <c r="C19" i="15"/>
  <c r="G18" i="40"/>
  <c r="E13" i="29" l="1"/>
  <c r="C20" i="19"/>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<sst xmlns="http://schemas.openxmlformats.org/spreadsheetml/2006/main" count="547" uniqueCount="260">
  <si>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</si>
  <si>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</si>
  <si>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</si>
  <si>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</si>
  <si>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</si>
  <si>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</si>
  <si>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</si>
  <si>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</si>
  <si>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</si>
  <si>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</si>
  <si>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</si>
  <si>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</si>
  <si>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</si>
  <si>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</si>
  <si>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</si>
  <si>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</si>
  <si>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</si>
  <si>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</si>
  <si>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</si>
  <si>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</si>
  <si>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</si>
  <si>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</si>
  <si>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</si>
  <si>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</si>
  <si>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</si>
  <si>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</si>
  <si>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</si>
  <si>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</si>
  <si>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</si>
  <si>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</si>
  <si>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</si>
  <si>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</si>
  <si>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</si>
  <si>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</si>
  <si>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</si>
  <si>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</si>
  <si>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</si>
  <si>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</si>
  <si>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</si>
  <si>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</si>
  <si>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</si>
  <si>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</si>
  <si>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</si>
  <si>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</si>
  <si>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</si>
  <si>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</si>
  <si>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</si>
  <si>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</si>
  <si>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</si>
  <si>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</si>
  <si>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</si>
  <si>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</si>
  <si>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</si>
  <si>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</si>
  <si>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</si>
  <si>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</si>
  <si>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</si>
  <si>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</si>
  <si>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</si>
  <si>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</si>
  <si>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</si>
  <si>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</si>
  <si>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</si>
  <si>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</si>
  <si>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</si>
  <si>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</si>
  <si>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</si>
  <si>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</si>
  <si>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</si>
  <si>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</si>
  <si>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</si>
  <si>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</si>
  <si>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</si>
  <si>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</si>
  <si>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</si>
  <si>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</si>
  <si>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</si>
  <si>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</si>
  <si>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</si>
  <si>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</si>
  <si>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</si>
  <si>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</si>
  <si>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</si>
  <si>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</si>
  <si>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</si>
  <si>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</si>
  <si>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</si>
  <si>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</si>
  <si>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</si>
  <si>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</si>
  <si>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</si>
  <si>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</si>
  <si>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</si>
  <si>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</si>
  <si>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</si>
  <si>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</si>
  <si>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</si>
  <si>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</si>
  <si>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</si>
  <si>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</si>
  <si>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</si>
  <si>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</si>
  <si>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</si>
  <si>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</si>
  <si>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</si>
  <si>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</si>
  <si>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</si>
  <si>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</si>
  <si>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</si>
  <si>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</si>
  <si>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</si>
  <si>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</si>
  <si>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</si>
  <si>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</si>
  <si>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</si>
  <si>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</si>
  <si>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</si>
  <si>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</si>
  <si>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</si>
  <si>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</si>
  <si>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</si>
  <si>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</si>
  <si>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</si>
  <si>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</si>
  <si>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</si>
  <si>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</si>
  <si>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</si>
  <si>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</si>
  <si>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</si>
  <si>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</si>
  <si>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</si>
  <si>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</si>
  <si>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</si>
  <si>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</si>
  <si>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</si>
  <si>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</si>
  <si>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</si>
  <si>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</si>
  <si>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</si>
  <si>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</si>
  <si>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</si>
  <si>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</si>
  <si>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</si>
  <si>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</si>
  <si>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</si>
  <si>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</si>
  <si>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</si>
  <si>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</si>
  <si>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</si>
  <si>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</si>
  <si>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</si>
  <si>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</si>
  <si>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</si>
  <si>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</si>
  <si>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</si>
  <si>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</si>
  <si>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</si>
  <si>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</si>
  <si>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</si>
  <si>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</si>
  <si>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</si>
  <si>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</si>
  <si>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</si>
  <si>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</si>
  <si>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</si>
  <si>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</si>
  <si>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</si>
  <si>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</si>
  <si>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</si>
  <si>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</si>
  <si>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</si>
  <si>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</si>
  <si>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</si>
  <si>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</si>
  <si>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</si>
  <si>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</si>
  <si>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</si>
  <si>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</si>
  <si>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</si>
  <si>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</si>
  <si>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</si>
  <si>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</si>
  <si>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</si>
  <si>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</si>
  <si>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</si>
  <si>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</si>
  <si>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</si>
  <si>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</si>
  <si>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</si>
  <si>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</si>
  <si>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</si>
  <si>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</si>
  <si>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</si>
  <si>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</si>
  <si>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</si>
  <si>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</si>
  <si>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</si>
  <si>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</si>
  <si>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</si>
  <si>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</si>
  <si>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</si>
  <si>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</si>
  <si>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</si>
  <si>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</si>
  <si>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</si>
  <si>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</si>
  <si>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</si>
  <si>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</si>
  <si>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</si>
  <si>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</si>
  <si>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</si>
  <si>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</si>
  <si>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</si>
  <si>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</si>
  <si>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</si>
  <si>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</si>
  <si>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</si>
  <si>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</si>
  <si>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</si>
  <si>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</si>
  <si>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</si>
  <si>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</si>
  <si>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</si>
  <si>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</si>
  <si>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</si>
  <si>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</si>
  <si>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</si>
  <si>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</si>
  <si>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</si>
  <si>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</si>
  <si>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</si>
  <si>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</si>
  <si>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</si>
  <si>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</si>
  <si>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</si>
  <si>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</si>
  <si>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</si>
  <si>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</si>
  <si>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</si>
  <si>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</si>
  <si>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</si>
  <si>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</si>
  <si>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</si>
  <si>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</si>
  <si>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</si>
  <si>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</si>
  <si>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Erstatninger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</si>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</sst>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5" xfId="0" applyNumberFormat="1" applyFont="1" applyFill="1" applyBorder="1" applyProtection="1"/>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235</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162</v>
      </c>
      <c r="E13" s="86"/>
      <c r="F13" s="86"/>
      <c r="G13" s="87"/>
      <c r="H13" s="1"/>
      <c r="I13" s="1"/>
    </row>
    <row r="14" spans="1:9" x14ac:dyDescent="0.25">
      <c r="A14" s="1"/>
      <c r="B14" s="1"/>
      <c r="C14" s="6" t="s">
        <v>14</v>
      </c>
      <c r="D14" s="85" t="s">
        <v>197</v>
      </c>
      <c r="E14" s="86"/>
      <c r="F14" s="86"/>
      <c r="G14" s="87"/>
      <c r="H14" s="1"/>
      <c r="I14" s="1"/>
    </row>
    <row r="15" spans="1:9" x14ac:dyDescent="0.25">
      <c r="A15" s="1"/>
      <c r="B15" s="1"/>
      <c r="C15" s="6" t="s">
        <v>30</v>
      </c>
      <c r="D15" s="85" t="s">
        <v>141</v>
      </c>
      <c r="E15" s="86"/>
      <c r="F15" s="86"/>
      <c r="G15" s="87"/>
      <c r="H15" s="1"/>
      <c r="I15" s="1"/>
    </row>
    <row r="16" spans="1:9" x14ac:dyDescent="0.25">
      <c r="A16" s="1"/>
      <c r="B16" s="1"/>
      <c r="C16" s="6" t="s">
        <v>31</v>
      </c>
      <c r="D16" s="85" t="s">
        <v>194</v>
      </c>
      <c r="E16" s="86"/>
      <c r="F16" s="86"/>
      <c r="G16" s="87"/>
      <c r="H16" s="1"/>
      <c r="I16" s="1"/>
    </row>
    <row r="17" spans="1:9" x14ac:dyDescent="0.25">
      <c r="A17" s="1"/>
      <c r="B17" s="1"/>
      <c r="C17" s="6" t="s">
        <v>102</v>
      </c>
      <c r="D17" s="85" t="s">
        <v>195</v>
      </c>
      <c r="E17" s="86"/>
      <c r="F17" s="86"/>
      <c r="G17" s="87"/>
      <c r="H17" s="1"/>
      <c r="I17" s="1"/>
    </row>
    <row r="18" spans="1:9" x14ac:dyDescent="0.25">
      <c r="A18" s="1"/>
      <c r="B18" s="1"/>
      <c r="C18" s="6" t="s">
        <v>86</v>
      </c>
      <c r="D18" s="91" t="s">
        <v>79</v>
      </c>
      <c r="E18" s="92"/>
      <c r="F18" s="92"/>
      <c r="G18" s="93"/>
      <c r="H18" s="1"/>
      <c r="I18" s="1"/>
    </row>
    <row r="19" spans="1:9" x14ac:dyDescent="0.25">
      <c r="A19" s="1"/>
      <c r="B19" s="1"/>
      <c r="C19" s="6" t="s">
        <v>87</v>
      </c>
      <c r="D19" s="91" t="s">
        <v>80</v>
      </c>
      <c r="E19" s="92"/>
      <c r="F19" s="92"/>
      <c r="G19" s="93"/>
      <c r="H19" s="1"/>
      <c r="I19" s="1"/>
    </row>
    <row r="20" spans="1:9" x14ac:dyDescent="0.25">
      <c r="A20" s="1"/>
      <c r="B20" s="1"/>
      <c r="C20" s="6" t="s">
        <v>7</v>
      </c>
      <c r="D20" s="91" t="s">
        <v>9</v>
      </c>
      <c r="E20" s="92"/>
      <c r="F20" s="92"/>
      <c r="G20" s="93"/>
      <c r="H20" s="1"/>
      <c r="I20" s="1"/>
    </row>
    <row r="21" spans="1:9" x14ac:dyDescent="0.25">
      <c r="A21" s="1"/>
      <c r="B21" s="1"/>
      <c r="C21" s="6" t="s">
        <v>88</v>
      </c>
      <c r="D21" s="82" t="s">
        <v>11</v>
      </c>
      <c r="E21" s="83"/>
      <c r="F21" s="83"/>
      <c r="G21" s="84"/>
      <c r="H21" s="1"/>
      <c r="I21" s="1"/>
    </row>
    <row r="22" spans="1:9" x14ac:dyDescent="0.25">
      <c r="A22" s="1"/>
      <c r="B22" s="1"/>
      <c r="C22" s="6" t="s">
        <v>73</v>
      </c>
      <c r="D22" s="76" t="s">
        <v>196</v>
      </c>
      <c r="E22" s="77"/>
      <c r="F22" s="77"/>
      <c r="G22" s="78"/>
      <c r="H22" s="1"/>
      <c r="I22" s="1"/>
    </row>
    <row r="23" spans="1:9" x14ac:dyDescent="0.25">
      <c r="A23" s="1"/>
      <c r="B23" s="1"/>
      <c r="C23" s="6" t="s">
        <v>8</v>
      </c>
      <c r="D23" s="76" t="s">
        <v>176</v>
      </c>
      <c r="E23" s="77"/>
      <c r="F23" s="77"/>
      <c r="G23" s="78"/>
      <c r="H23" s="1"/>
      <c r="I23" s="1"/>
    </row>
    <row r="24" spans="1:9" x14ac:dyDescent="0.25">
      <c r="A24" s="1"/>
      <c r="B24" s="1"/>
      <c r="C24" s="6" t="s">
        <v>172</v>
      </c>
      <c r="D24" s="76" t="s">
        <v>163</v>
      </c>
      <c r="E24" s="77"/>
      <c r="F24" s="77"/>
      <c r="G24" s="78"/>
      <c r="H24" s="1"/>
      <c r="I24" s="1"/>
    </row>
    <row r="25" spans="1:9" x14ac:dyDescent="0.25">
      <c r="A25" s="1"/>
      <c r="B25" s="1"/>
      <c r="C25" s="6" t="s">
        <v>173</v>
      </c>
      <c r="D25" s="76" t="s">
        <v>74</v>
      </c>
      <c r="E25" s="77"/>
      <c r="F25" s="77"/>
      <c r="G25" s="78"/>
      <c r="H25" s="1"/>
      <c r="I25" s="1"/>
    </row>
    <row r="26" spans="1:9" x14ac:dyDescent="0.25">
      <c r="A26" s="1"/>
      <c r="B26" s="1"/>
      <c r="C26" s="6" t="s">
        <v>174</v>
      </c>
      <c r="D26" s="76" t="s">
        <v>75</v>
      </c>
      <c r="E26" s="77"/>
      <c r="F26" s="77"/>
      <c r="G26" s="78"/>
      <c r="H26" s="1"/>
      <c r="I26" s="1"/>
    </row>
    <row r="27" spans="1:9" x14ac:dyDescent="0.25">
      <c r="A27" s="1"/>
      <c r="B27" s="1"/>
      <c r="C27" s="6" t="s">
        <v>89</v>
      </c>
      <c r="D27" s="76" t="s">
        <v>103</v>
      </c>
      <c r="E27" s="77"/>
      <c r="F27" s="77"/>
      <c r="G27" s="78"/>
      <c r="H27" s="1"/>
      <c r="I27" s="1"/>
    </row>
    <row r="28" spans="1:9" x14ac:dyDescent="0.25">
      <c r="A28" s="1"/>
      <c r="B28" s="1"/>
      <c r="C28" s="6" t="s">
        <v>83</v>
      </c>
      <c r="D28" s="76" t="s">
        <v>32</v>
      </c>
      <c r="E28" s="77"/>
      <c r="F28" s="77"/>
      <c r="G28" s="78"/>
      <c r="H28" s="1"/>
      <c r="I28" s="1"/>
    </row>
    <row r="29" spans="1:9" x14ac:dyDescent="0.25">
      <c r="A29" s="1"/>
      <c r="B29" s="1"/>
      <c r="C29" s="6" t="s">
        <v>175</v>
      </c>
      <c r="D29" s="79" t="s">
        <v>84</v>
      </c>
      <c r="E29" s="80"/>
      <c r="F29" s="80"/>
      <c r="G29" s="8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JucdBv/35stC/sHIAdGiHqjxtWDQWsksXbxNzRAzQX4ZuRYYCF4ZTUpqsktinvgk8T413jpGsvR/1/zYIw7fCg==" saltValue="Xv8QZZSsKUZPlfszNUJi4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8" t="s">
        <v>226</v>
      </c>
      <c r="C8" s="99"/>
      <c r="D8" s="100"/>
      <c r="E8" s="1"/>
      <c r="F8" s="1"/>
    </row>
    <row r="9" spans="1:6" ht="15" customHeight="1" x14ac:dyDescent="0.25">
      <c r="A9" s="1"/>
      <c r="B9" s="32" t="s">
        <v>28</v>
      </c>
      <c r="C9" s="11" t="s">
        <v>212</v>
      </c>
      <c r="D9" s="11"/>
      <c r="E9" s="1"/>
      <c r="F9" s="1"/>
    </row>
    <row r="10" spans="1:6" ht="15" customHeight="1" x14ac:dyDescent="0.25">
      <c r="A10" s="1"/>
      <c r="B10" s="65" t="s">
        <v>243</v>
      </c>
      <c r="C10" s="9">
        <v>12769894</v>
      </c>
      <c r="D10" s="14" t="s">
        <v>3</v>
      </c>
      <c r="E10" s="1"/>
      <c r="F10" s="1"/>
    </row>
    <row r="11" spans="1:6" x14ac:dyDescent="0.25">
      <c r="A11" s="1"/>
      <c r="B11" s="65" t="s">
        <v>244</v>
      </c>
      <c r="C11" s="9">
        <v>54320</v>
      </c>
      <c r="D11" s="14" t="s">
        <v>3</v>
      </c>
      <c r="E11" s="1"/>
      <c r="F11" s="1"/>
    </row>
    <row r="12" spans="1:6" x14ac:dyDescent="0.25">
      <c r="A12" s="1"/>
      <c r="B12" s="65" t="s">
        <v>245</v>
      </c>
      <c r="C12" s="9">
        <v>44086</v>
      </c>
      <c r="D12" s="14" t="s">
        <v>3</v>
      </c>
      <c r="E12" s="1"/>
      <c r="F12" s="1"/>
    </row>
    <row r="13" spans="1:6" x14ac:dyDescent="0.25">
      <c r="A13" s="1"/>
      <c r="B13" s="65" t="s">
        <v>246</v>
      </c>
      <c r="C13" s="9">
        <v>7626.56</v>
      </c>
      <c r="D13" s="14" t="s">
        <v>3</v>
      </c>
      <c r="E13" s="1"/>
      <c r="F13" s="1"/>
    </row>
    <row r="14" spans="1:6" x14ac:dyDescent="0.25">
      <c r="A14" s="1"/>
      <c r="B14" s="65"/>
      <c r="C14" s="9"/>
      <c r="D14" s="14" t="s">
        <v>3</v>
      </c>
      <c r="E14" s="1"/>
      <c r="F14" s="1"/>
    </row>
    <row r="15" spans="1:6" x14ac:dyDescent="0.25">
      <c r="A15" s="1"/>
      <c r="B15" s="65"/>
      <c r="C15" s="9"/>
      <c r="D15" s="14" t="s">
        <v>3</v>
      </c>
      <c r="E15" s="1"/>
      <c r="F15" s="1"/>
    </row>
    <row r="16" spans="1:6" x14ac:dyDescent="0.25">
      <c r="A16" s="1"/>
      <c r="B16" s="65"/>
      <c r="C16" s="9"/>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1" t="s">
        <v>213</v>
      </c>
      <c r="C19" s="12">
        <f>SUM(C10:C18)</f>
        <v>12875926.560000001</v>
      </c>
      <c r="D19" s="13" t="s">
        <v>3</v>
      </c>
      <c r="E19" s="1"/>
      <c r="F19" s="1"/>
    </row>
    <row r="20" spans="1:6" x14ac:dyDescent="0.25">
      <c r="A20" s="1"/>
      <c r="B20" s="51" t="s">
        <v>214</v>
      </c>
      <c r="C20" s="12">
        <f>C19*(1+'Fane 13. Nøgletal'!C16)^2</f>
        <v>15040738.581272678</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dcqiF/1nEPYqd2ZMua3UIQpZiKbOa9LU5kOWu5z+fADwyuUsBkRE9YdLER0uf9YZGrYDK2SQe3yB44EM/WTw/A==" saltValue="SPekkV2SQfHFrEx2rf06Y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8" t="s">
        <v>247</v>
      </c>
      <c r="C8" s="99"/>
      <c r="D8" s="99"/>
      <c r="E8" s="99"/>
      <c r="F8" s="100"/>
      <c r="G8" s="1"/>
    </row>
    <row r="9" spans="1:7" x14ac:dyDescent="0.25">
      <c r="A9" s="1"/>
      <c r="B9" s="101" t="s">
        <v>248</v>
      </c>
      <c r="C9" s="102"/>
      <c r="D9" s="103"/>
      <c r="E9" s="28">
        <v>5104713.4200733155</v>
      </c>
      <c r="F9" s="14" t="s">
        <v>3</v>
      </c>
      <c r="G9" s="1"/>
    </row>
    <row r="10" spans="1:7" x14ac:dyDescent="0.25">
      <c r="A10" s="1"/>
      <c r="B10" s="51"/>
      <c r="C10" s="52"/>
      <c r="D10" s="52"/>
      <c r="E10" s="52"/>
      <c r="F10" s="19"/>
      <c r="G10" s="1"/>
    </row>
    <row r="11" spans="1:7" ht="60" customHeight="1" x14ac:dyDescent="0.25">
      <c r="A11" s="1"/>
      <c r="B11" s="116" t="s">
        <v>249</v>
      </c>
      <c r="C11" s="117"/>
      <c r="D11" s="117"/>
      <c r="E11" s="117"/>
      <c r="F11" s="118"/>
      <c r="G11" s="1"/>
    </row>
    <row r="12" spans="1:7" x14ac:dyDescent="0.25">
      <c r="A12" s="1"/>
      <c r="B12" s="1"/>
      <c r="C12" s="1"/>
      <c r="D12" s="1"/>
      <c r="E12" s="1"/>
      <c r="F12" s="1"/>
      <c r="G12" s="1"/>
    </row>
    <row r="13" spans="1:7" x14ac:dyDescent="0.25">
      <c r="A13" s="1"/>
      <c r="B13" s="98" t="s">
        <v>140</v>
      </c>
      <c r="C13" s="99"/>
      <c r="D13" s="99"/>
      <c r="E13" s="99"/>
      <c r="F13" s="100"/>
      <c r="G13" s="1"/>
    </row>
    <row r="14" spans="1:7" x14ac:dyDescent="0.25">
      <c r="A14" s="1"/>
      <c r="B14" s="101" t="s">
        <v>250</v>
      </c>
      <c r="C14" s="102"/>
      <c r="D14" s="103"/>
      <c r="E14" s="9">
        <v>0</v>
      </c>
      <c r="F14" s="14" t="s">
        <v>3</v>
      </c>
      <c r="G14" s="1"/>
    </row>
    <row r="15" spans="1:7" x14ac:dyDescent="0.25">
      <c r="A15" s="1"/>
      <c r="B15" s="101" t="s">
        <v>251</v>
      </c>
      <c r="C15" s="102"/>
      <c r="D15" s="103"/>
      <c r="E15" s="9">
        <v>0</v>
      </c>
      <c r="F15" s="14" t="s">
        <v>3</v>
      </c>
      <c r="G15" s="1"/>
    </row>
    <row r="16" spans="1:7" x14ac:dyDescent="0.25">
      <c r="A16" s="1"/>
      <c r="B16" s="51"/>
      <c r="C16" s="52"/>
      <c r="D16" s="52"/>
      <c r="E16" s="52"/>
      <c r="F16" s="19"/>
      <c r="G16" s="1"/>
    </row>
    <row r="17" spans="1:7" ht="29.25" customHeight="1" x14ac:dyDescent="0.25">
      <c r="A17" s="1"/>
      <c r="B17" s="116" t="s">
        <v>252</v>
      </c>
      <c r="C17" s="117"/>
      <c r="D17" s="117"/>
      <c r="E17" s="117"/>
      <c r="F17" s="118"/>
      <c r="G17" s="1"/>
    </row>
    <row r="18" spans="1:7" x14ac:dyDescent="0.25">
      <c r="A18" s="1"/>
      <c r="B18" s="1"/>
      <c r="C18" s="1"/>
      <c r="D18" s="1"/>
      <c r="E18" s="1"/>
      <c r="F18" s="1"/>
      <c r="G18" s="1"/>
    </row>
    <row r="19" spans="1:7" x14ac:dyDescent="0.25">
      <c r="A19" s="1"/>
      <c r="B19" s="66" t="s">
        <v>253</v>
      </c>
      <c r="C19" s="67"/>
      <c r="D19" s="67"/>
      <c r="E19" s="67"/>
      <c r="F19" s="68"/>
      <c r="G19" s="1"/>
    </row>
    <row r="20" spans="1:7" x14ac:dyDescent="0.25">
      <c r="A20" s="1"/>
      <c r="B20" s="62" t="s">
        <v>254</v>
      </c>
      <c r="C20" s="63"/>
      <c r="D20" s="64"/>
      <c r="E20" s="9">
        <v>32622872.594225183</v>
      </c>
      <c r="F20" s="14" t="s">
        <v>3</v>
      </c>
      <c r="G20" s="1"/>
    </row>
    <row r="21" spans="1:7" x14ac:dyDescent="0.25">
      <c r="A21" s="1"/>
      <c r="B21" s="62" t="s">
        <v>255</v>
      </c>
      <c r="C21" s="63"/>
      <c r="D21" s="64"/>
      <c r="E21" s="9">
        <v>29379030.41</v>
      </c>
      <c r="F21" s="14" t="s">
        <v>3</v>
      </c>
      <c r="G21" s="1"/>
    </row>
    <row r="22" spans="1:7" x14ac:dyDescent="0.25">
      <c r="A22" s="1"/>
      <c r="B22" s="62" t="s">
        <v>29</v>
      </c>
      <c r="C22" s="63"/>
      <c r="D22" s="64"/>
      <c r="E22" s="9">
        <v>0</v>
      </c>
      <c r="F22" s="14" t="s">
        <v>3</v>
      </c>
      <c r="G22" s="1"/>
    </row>
    <row r="23" spans="1:7" x14ac:dyDescent="0.25">
      <c r="A23" s="1"/>
      <c r="B23" s="70" t="s">
        <v>256</v>
      </c>
      <c r="C23" s="71"/>
      <c r="D23" s="72"/>
      <c r="E23" s="10">
        <f>E20-(E21-E22)</f>
        <v>3243842.184225183</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98" t="s">
        <v>257</v>
      </c>
      <c r="C26" s="99"/>
      <c r="D26" s="99"/>
      <c r="E26" s="99"/>
      <c r="F26" s="100"/>
      <c r="G26" s="1"/>
    </row>
    <row r="27" spans="1:7" x14ac:dyDescent="0.25">
      <c r="A27" s="1"/>
      <c r="B27" s="123" t="s">
        <v>258</v>
      </c>
      <c r="C27" s="124"/>
      <c r="D27" s="125"/>
      <c r="E27" s="58">
        <f>IF(AND(E15&lt;0,E23&gt;0,ABS(SUM(E14:E15))&lt;E23),ABS(E14),IF(AND(E15&lt;0,E23&gt;0,ABS(SUM(E14:E15))&gt;E23),SUM(E14,E23),0))</f>
        <v>0</v>
      </c>
      <c r="F27" s="17" t="s">
        <v>3</v>
      </c>
      <c r="G27" s="1"/>
    </row>
    <row r="28" spans="1:7" x14ac:dyDescent="0.25">
      <c r="A28" s="1"/>
      <c r="B28" s="98"/>
      <c r="C28" s="99"/>
      <c r="D28" s="99"/>
      <c r="E28" s="99"/>
      <c r="F28" s="100"/>
      <c r="G28" s="1"/>
    </row>
    <row r="29" spans="1:7" x14ac:dyDescent="0.25">
      <c r="A29" s="1"/>
      <c r="B29" s="1"/>
      <c r="C29" s="1"/>
      <c r="D29" s="1"/>
      <c r="E29" s="1"/>
      <c r="F29" s="1"/>
      <c r="G29" s="1"/>
    </row>
    <row r="30" spans="1:7" x14ac:dyDescent="0.25">
      <c r="A30" s="1"/>
      <c r="B30" s="98" t="s">
        <v>259</v>
      </c>
      <c r="C30" s="99"/>
      <c r="D30" s="99"/>
      <c r="E30" s="99"/>
      <c r="F30" s="100"/>
      <c r="G30" s="1"/>
    </row>
    <row r="31" spans="1:7" x14ac:dyDescent="0.25">
      <c r="A31" s="1"/>
      <c r="B31" s="126" t="s">
        <v>117</v>
      </c>
      <c r="C31" s="127"/>
      <c r="D31" s="128"/>
      <c r="E31" s="59">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8">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PTMaaxMAbw4IJGALfgXyr4SlrG9wrH0qb8Ydf45pMAp6lW6Z8hq8yL2+WcMXeC0NbniwYcy55/YfudJvHxPKog==" saltValue="XEXr0oNDZqKG66r2K/knr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8" t="s">
        <v>184</v>
      </c>
      <c r="C8" s="99"/>
      <c r="D8" s="99"/>
      <c r="E8" s="99"/>
      <c r="F8" s="99"/>
      <c r="G8" s="99"/>
      <c r="H8" s="100"/>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98" t="s">
        <v>193</v>
      </c>
      <c r="C18" s="99"/>
      <c r="D18" s="99"/>
      <c r="E18" s="99"/>
      <c r="F18" s="10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yjcWtmXodYZR7TNopYp3Fz90OyLq33sH6jLRxy9VPfJKHg6NXonda9046dSxvf6QlJEoPpoYQJ6nbbRaea39A==" saltValue="hPMqhiyH80MRC033qrR81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155</v>
      </c>
      <c r="C8" s="99"/>
      <c r="D8" s="99"/>
      <c r="E8" s="99"/>
      <c r="F8" s="99"/>
      <c r="G8" s="99"/>
      <c r="H8" s="99"/>
      <c r="I8" s="99"/>
      <c r="J8" s="99"/>
      <c r="K8" s="100"/>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5">
        <v>0</v>
      </c>
      <c r="G10" s="14" t="s">
        <v>3</v>
      </c>
      <c r="H10" s="9">
        <v>0</v>
      </c>
      <c r="I10" s="14" t="s">
        <v>3</v>
      </c>
      <c r="J10" s="9">
        <v>0</v>
      </c>
      <c r="K10" s="14" t="s">
        <v>3</v>
      </c>
      <c r="L10" s="1"/>
    </row>
    <row r="11" spans="1:12" x14ac:dyDescent="0.25">
      <c r="A11" s="1"/>
      <c r="B11" s="51" t="s">
        <v>215</v>
      </c>
      <c r="C11" s="52"/>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SWYiYh79tALpJvldlbzrjWPQ89VJCZfCoau8Nnql24QTBU4p9BEAdRaCbApgaPBpIaIUsrZ1aoZhfq3TGMisgA==" saltValue="d36tPeKxesmCryMkIBKSf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0</v>
      </c>
      <c r="D17" s="13" t="s">
        <v>3</v>
      </c>
      <c r="E17" s="12">
        <f>SUM(E10:E16)</f>
        <v>0</v>
      </c>
      <c r="F17" s="13" t="s">
        <v>3</v>
      </c>
      <c r="G17" s="1"/>
    </row>
    <row r="18" spans="1:7" x14ac:dyDescent="0.25">
      <c r="A18" s="1"/>
      <c r="B18" s="51"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jTSbUJ8jn2pysMDNNSibFKSRTSolDwESVW7fHCYJ0bCTH8rnO5jgYgNpo1xwffAwepu0n8EelYWxAEICH8/yzA==" saltValue="oggW2nukq0aeq1XLsjoiI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8" t="s">
        <v>217</v>
      </c>
      <c r="C9" s="99"/>
      <c r="D9" s="99"/>
      <c r="E9" s="99"/>
      <c r="F9" s="100"/>
      <c r="G9" s="1"/>
    </row>
    <row r="10" spans="1:7" ht="26.25" x14ac:dyDescent="0.25">
      <c r="A10" s="1"/>
      <c r="B10" s="73" t="s">
        <v>15</v>
      </c>
      <c r="C10" s="73" t="s">
        <v>10</v>
      </c>
      <c r="D10" s="74"/>
      <c r="E10" s="73" t="s">
        <v>27</v>
      </c>
      <c r="F10" s="30"/>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7Q9S+Lwa9gaXBM3UJTOn00otTwIwoyXkca3b8mjZSVLvF8VULCo2goa0XnHZ8CDTLDoF0AIzGi92Fry5r1UAg==" saltValue="TGuBD96XmFk7RGhku/qrw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104</v>
      </c>
      <c r="C8" s="99"/>
      <c r="D8" s="99"/>
      <c r="E8" s="99"/>
      <c r="F8" s="100"/>
      <c r="G8" s="1"/>
    </row>
    <row r="9" spans="1:7" ht="15" customHeight="1" x14ac:dyDescent="0.25">
      <c r="A9" s="1"/>
      <c r="B9" s="53" t="s">
        <v>105</v>
      </c>
      <c r="C9" s="129" t="s">
        <v>10</v>
      </c>
      <c r="D9" s="131"/>
      <c r="E9" s="129" t="s">
        <v>27</v>
      </c>
      <c r="F9" s="131"/>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dbrmU6TxhcxZ3Is2MRYXs/6MocaZFE5rVG7l7r2o+9kjIrdY7+rTs2/96iPBD1zuVr8AgDycIDfr9I2VWCjnfQ==" saltValue="2mr7W+LC1K88dKG0LTrfJ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8" t="s">
        <v>237</v>
      </c>
      <c r="C10" s="99"/>
      <c r="D10" s="99"/>
      <c r="E10" s="99"/>
      <c r="F10" s="100"/>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3ChndwiR9JLscrmyRohyEUwOA41JL+bfVWlyAq1MHUw3QIycG1s9b9UwcFdK5LPrQWtyTbhAWIU2ID/sfx7MA==" saltValue="OrfGClGf99rUMylRbOAfV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8"/>
      <c r="C17" s="100"/>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5"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z98TG2IxB5H9SsPBazYp5KkS/DoPrnvhRa/ECwZn6zFewMGbEWyHqKKPzEQ+MShZXFoYjaaIq0ewvNnqANYXfw==" saltValue="SvCfNCqkaHlZ/KTSeNZTk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20417276.889595643</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726855.05726960488</v>
      </c>
      <c r="D15" s="8" t="s">
        <v>3</v>
      </c>
      <c r="E15" s="1"/>
    </row>
    <row r="16" spans="1:5" ht="17.100000000000001" customHeight="1" x14ac:dyDescent="0.25">
      <c r="A16" s="1"/>
      <c r="B16" s="24" t="s">
        <v>9</v>
      </c>
      <c r="C16" s="9">
        <f>-SUM(C8,C9:C15)*'Fane 5. Individuelt eff. krav'!G9</f>
        <v>-35341.153808746451</v>
      </c>
      <c r="D16" s="8" t="s">
        <v>3</v>
      </c>
      <c r="E16" s="1"/>
    </row>
    <row r="17" spans="1:5" ht="17.100000000000001" customHeight="1" x14ac:dyDescent="0.25">
      <c r="A17" s="1"/>
      <c r="B17" s="24" t="s">
        <v>22</v>
      </c>
      <c r="C17" s="9">
        <f>-'Fane 4.1. Gen. krav - drift'!G49</f>
        <v>-160074.3198289354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20948716.473227564</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15040738.581272678</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6">
        <f>SUM(C23:C26)</f>
        <v>0</v>
      </c>
      <c r="D27" s="11" t="s">
        <v>3</v>
      </c>
      <c r="E27" s="1"/>
    </row>
    <row r="28" spans="1:5" ht="15" customHeight="1" x14ac:dyDescent="0.25">
      <c r="A28" s="1"/>
      <c r="B28" s="26" t="s">
        <v>117</v>
      </c>
      <c r="C28" s="52"/>
      <c r="D28" s="19"/>
      <c r="E28" s="1"/>
    </row>
    <row r="29" spans="1:5" x14ac:dyDescent="0.25">
      <c r="A29" s="1"/>
      <c r="B29" s="69" t="s">
        <v>118</v>
      </c>
      <c r="C29" s="10">
        <f>'Fane 7. Kontrol af ØR2022'!E27</f>
        <v>0</v>
      </c>
      <c r="D29" s="11" t="s">
        <v>3</v>
      </c>
      <c r="E29" s="1"/>
    </row>
    <row r="30" spans="1:5" x14ac:dyDescent="0.25">
      <c r="A30" s="1"/>
      <c r="B30" s="26" t="s">
        <v>138</v>
      </c>
      <c r="C30" s="52"/>
      <c r="D30" s="19"/>
      <c r="E30" s="1"/>
    </row>
    <row r="31" spans="1:5" x14ac:dyDescent="0.25">
      <c r="A31" s="1"/>
      <c r="B31" s="69" t="s">
        <v>139</v>
      </c>
      <c r="C31" s="10">
        <f>'Fane 8. Skattesagen'!G13</f>
        <v>0</v>
      </c>
      <c r="D31" s="11" t="s">
        <v>3</v>
      </c>
      <c r="E31" s="1"/>
    </row>
    <row r="32" spans="1:5" x14ac:dyDescent="0.25">
      <c r="A32" s="1"/>
      <c r="B32" s="51" t="s">
        <v>126</v>
      </c>
      <c r="C32" s="33">
        <f>SUM(C19,C21,C27,C29,C31)</f>
        <v>35989455.054500245</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gWiXWvsLPDkW3iDv0VCJimBLq9l1lOTwB6/KBIxMhV0AlW7aeVnfO0v1XaMTwVjVkzNHlgNFVqFupf9xmwD7A==" saltValue="3+u1QnSilAGnZ4jZye0Tt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20948716.473227564</v>
      </c>
      <c r="D8" s="8" t="s">
        <v>3</v>
      </c>
      <c r="E8" s="1"/>
    </row>
    <row r="9" spans="1:5" ht="15" customHeight="1" x14ac:dyDescent="0.25">
      <c r="A9" s="1"/>
      <c r="B9" s="29" t="s">
        <v>17</v>
      </c>
      <c r="C9" s="9">
        <f>SUM(C8:C8)*'Fane 13. Nøgletal'!C16</f>
        <v>1692656.2910367872</v>
      </c>
      <c r="D9" s="8" t="s">
        <v>3</v>
      </c>
      <c r="E9" s="1"/>
    </row>
    <row r="10" spans="1:5" ht="15" customHeight="1" x14ac:dyDescent="0.25">
      <c r="A10" s="1"/>
      <c r="B10" s="29" t="s">
        <v>9</v>
      </c>
      <c r="C10" s="9">
        <f>-SUM(C8:C9)*'Fane 5. Individuelt eff. krav'!G9</f>
        <v>-37843.702418895467</v>
      </c>
      <c r="D10" s="8" t="s">
        <v>3</v>
      </c>
      <c r="E10" s="1"/>
    </row>
    <row r="11" spans="1:5" ht="15" customHeight="1" x14ac:dyDescent="0.25">
      <c r="A11" s="1"/>
      <c r="B11" s="29" t="s">
        <v>22</v>
      </c>
      <c r="C11" s="9">
        <f>-'Fane 4.1. Gen. krav - drift'!G54</f>
        <v>-169548.15837369111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22433980.903471764</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16256030.258639511</v>
      </c>
      <c r="D15" s="11" t="s">
        <v>3</v>
      </c>
      <c r="E15" s="1"/>
    </row>
    <row r="16" spans="1:5" x14ac:dyDescent="0.25">
      <c r="A16" s="1"/>
      <c r="B16" s="26" t="s">
        <v>117</v>
      </c>
      <c r="C16" s="52"/>
      <c r="D16" s="19"/>
      <c r="E16" s="1"/>
    </row>
    <row r="17" spans="1:5" ht="15" customHeight="1" x14ac:dyDescent="0.25">
      <c r="A17" s="1"/>
      <c r="B17" s="69" t="s">
        <v>118</v>
      </c>
      <c r="C17" s="10">
        <f>'Fane 7. Kontrol af ØR2022'!E33</f>
        <v>0</v>
      </c>
      <c r="D17" s="11" t="s">
        <v>3</v>
      </c>
      <c r="E17" s="1"/>
    </row>
    <row r="18" spans="1:5" x14ac:dyDescent="0.25">
      <c r="A18" s="1"/>
      <c r="B18" s="26" t="s">
        <v>138</v>
      </c>
      <c r="C18" s="52"/>
      <c r="D18" s="19"/>
      <c r="E18" s="1"/>
    </row>
    <row r="19" spans="1:5" x14ac:dyDescent="0.25">
      <c r="A19" s="1"/>
      <c r="B19" s="69" t="s">
        <v>139</v>
      </c>
      <c r="C19" s="10">
        <f>'Fane 8. Skattesagen'!G13</f>
        <v>0</v>
      </c>
      <c r="D19" s="11" t="s">
        <v>3</v>
      </c>
      <c r="E19" s="1"/>
    </row>
    <row r="20" spans="1:5" x14ac:dyDescent="0.25">
      <c r="A20" s="1"/>
      <c r="B20" s="51" t="s">
        <v>128</v>
      </c>
      <c r="C20" s="12">
        <f>SUM(C13,C15,C17,C19)</f>
        <v>38690011.162111275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MzioLI55SeJoiBuDDvrgUoAxqOvG7iRiFqWZhdHYw+rmh2W+k2eC+QK359XnXh4jChELeWsmZrGpLBycEXWSg==" saltValue="ESYw8wglpAxd/iLi3L8lU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22433980.903471764</v>
      </c>
      <c r="D8" s="8" t="s">
        <v>3</v>
      </c>
      <c r="E8" s="1"/>
    </row>
    <row r="9" spans="1:5" ht="15" customHeight="1" x14ac:dyDescent="0.25">
      <c r="A9" s="1"/>
      <c r="B9" s="29" t="s">
        <v>17</v>
      </c>
      <c r="C9" s="9">
        <f>SUM(C8:C8)*'Fane 13. Nøgletal'!C16</f>
        <v>1812665.6570005184</v>
      </c>
      <c r="D9" s="8" t="s">
        <v>3</v>
      </c>
      <c r="E9" s="1"/>
    </row>
    <row r="10" spans="1:5" ht="15" customHeight="1" x14ac:dyDescent="0.25">
      <c r="A10" s="1"/>
      <c r="B10" s="29" t="s">
        <v>9</v>
      </c>
      <c r="C10" s="9">
        <f>-SUM(C8:C9)*'Fane 5. Individuelt eff. krav'!G9</f>
        <v>-40526.821701328139</v>
      </c>
      <c r="D10" s="8" t="s">
        <v>3</v>
      </c>
      <c r="E10" s="1"/>
    </row>
    <row r="11" spans="1:5" ht="15" customHeight="1" x14ac:dyDescent="0.25">
      <c r="A11" s="1"/>
      <c r="B11" s="29" t="s">
        <v>22</v>
      </c>
      <c r="C11" s="9">
        <f>-'Fane 4.1. Gen. krav - drift'!G59</f>
        <v>-179582.69657887961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24026537.042192075</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17569517.503537584</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69" t="s">
        <v>139</v>
      </c>
      <c r="C19" s="10">
        <f>'Fane 8. Skattesagen'!G14</f>
        <v>0</v>
      </c>
      <c r="D19" s="11" t="s">
        <v>3</v>
      </c>
      <c r="E19" s="1"/>
    </row>
    <row r="20" spans="1:5" x14ac:dyDescent="0.25">
      <c r="A20" s="1"/>
      <c r="B20" s="51" t="s">
        <v>143</v>
      </c>
      <c r="C20" s="12">
        <f>SUM(C13,C15,C17,C19)</f>
        <v>41596054.545729659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tNHi3yzct8aPU2Tl57KZ2/bAjpqks9biXwpvQ8nvqnsDQo/mntJxOw9aD9/6bQGh5VJmchaDIHCNzRLsVb6vQ==" saltValue="YaD2hQMDBoNfWCjA4JfAy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24026537.042192075</v>
      </c>
      <c r="D8" s="8" t="s">
        <v>3</v>
      </c>
      <c r="E8" s="1"/>
    </row>
    <row r="9" spans="1:5" ht="15" customHeight="1" x14ac:dyDescent="0.25">
      <c r="A9" s="1"/>
      <c r="B9" s="29" t="s">
        <v>17</v>
      </c>
      <c r="C9" s="9">
        <f>SUM(C8:C8)*'Fane 13. Nøgletal'!C16</f>
        <v>1941344.1930091197</v>
      </c>
      <c r="D9" s="8" t="s">
        <v>3</v>
      </c>
      <c r="E9" s="1"/>
    </row>
    <row r="10" spans="1:5" ht="15" customHeight="1" x14ac:dyDescent="0.25">
      <c r="A10" s="1"/>
      <c r="B10" s="29" t="s">
        <v>9</v>
      </c>
      <c r="C10" s="9">
        <f>-SUM(C8:C9)*'Fane 5. Individuelt eff. krav'!G9</f>
        <v>-43403.762666954332</v>
      </c>
      <c r="D10" s="8" t="s">
        <v>3</v>
      </c>
      <c r="E10" s="1"/>
    </row>
    <row r="11" spans="1:5" ht="15" customHeight="1" x14ac:dyDescent="0.25">
      <c r="A11" s="1"/>
      <c r="B11" s="29" t="s">
        <v>22</v>
      </c>
      <c r="C11" s="9">
        <f>-'Fane 4.1. Gen. krav - drift'!G64</f>
        <v>-190211.11889320402</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25734266.353641037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18989134.517823417</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9" t="s">
        <v>139</v>
      </c>
      <c r="C19" s="10">
        <f>'Fane 8. Skattesagen'!G15</f>
        <v>0</v>
      </c>
      <c r="D19" s="11" t="s">
        <v>3</v>
      </c>
      <c r="E19" s="1"/>
    </row>
    <row r="20" spans="1:5" x14ac:dyDescent="0.25">
      <c r="A20" s="1"/>
      <c r="B20" s="51" t="s">
        <v>205</v>
      </c>
      <c r="C20" s="12">
        <f>SUM(C13,C15,C17,C19)</f>
        <v>44723400.871464454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3V4YQi7d/wxmWcrIWhcqnr6s6ThZmhOGdcLGiG+UBpyQ9Laq9LjC0IGZyruJvDyH5dVcaxUhxOA5P0yCbf5VJw==" saltValue="rmuS1jo6jKG2Yt4cOny2n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19814246.284754846</v>
      </c>
      <c r="D8" s="8" t="s">
        <v>3</v>
      </c>
      <c r="E8" s="1"/>
    </row>
    <row r="9" spans="1:5" x14ac:dyDescent="0.25">
      <c r="A9" s="1"/>
      <c r="B9" s="24" t="s">
        <v>33</v>
      </c>
      <c r="C9" s="7">
        <v>77329.287600000011</v>
      </c>
      <c r="D9" s="8" t="s">
        <v>3</v>
      </c>
      <c r="E9" s="1"/>
    </row>
    <row r="10" spans="1:5" x14ac:dyDescent="0.25">
      <c r="A10" s="1"/>
      <c r="B10" s="24" t="s">
        <v>34</v>
      </c>
      <c r="C10" s="9">
        <v>9400.1412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708474.73540255241</v>
      </c>
      <c r="D15" s="8" t="s">
        <v>3</v>
      </c>
      <c r="E15" s="1"/>
    </row>
    <row r="16" spans="1:5" x14ac:dyDescent="0.25">
      <c r="A16" s="1"/>
      <c r="B16" s="24" t="s">
        <v>9</v>
      </c>
      <c r="C16" s="9">
        <v>-34447.465616498215</v>
      </c>
      <c r="D16" s="8" t="s">
        <v>3</v>
      </c>
      <c r="E16" s="1"/>
    </row>
    <row r="17" spans="1:5" x14ac:dyDescent="0.25">
      <c r="A17" s="1"/>
      <c r="B17" s="24" t="s">
        <v>22</v>
      </c>
      <c r="C17" s="9">
        <v>-157726.09374525602</v>
      </c>
      <c r="D17" s="8" t="s">
        <v>3</v>
      </c>
      <c r="E17" s="1"/>
    </row>
    <row r="18" spans="1:5" x14ac:dyDescent="0.25">
      <c r="A18" s="1"/>
      <c r="B18" s="24" t="s">
        <v>23</v>
      </c>
      <c r="C18" s="9">
        <v>0</v>
      </c>
      <c r="D18" s="8" t="s">
        <v>3</v>
      </c>
      <c r="E18" s="1"/>
    </row>
    <row r="19" spans="1:5" x14ac:dyDescent="0.25">
      <c r="A19" s="1"/>
      <c r="B19" s="70" t="s">
        <v>19</v>
      </c>
      <c r="C19" s="10">
        <v>20417276.889595643</v>
      </c>
      <c r="D19" s="11" t="s">
        <v>3</v>
      </c>
      <c r="E19" s="1"/>
    </row>
    <row r="20" spans="1:5" x14ac:dyDescent="0.25">
      <c r="A20" s="1"/>
      <c r="B20" s="51" t="s">
        <v>11</v>
      </c>
      <c r="C20" s="52"/>
      <c r="D20" s="19"/>
      <c r="E20" s="1"/>
    </row>
    <row r="21" spans="1:5" x14ac:dyDescent="0.25">
      <c r="A21" s="1"/>
      <c r="B21" s="53" t="s">
        <v>11</v>
      </c>
      <c r="C21" s="10">
        <v>14858851.687837318</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6">
        <v>0</v>
      </c>
      <c r="D27" s="11" t="s">
        <v>3</v>
      </c>
      <c r="E27" s="1"/>
    </row>
    <row r="28" spans="1:5" x14ac:dyDescent="0.25">
      <c r="A28" s="1"/>
      <c r="B28" s="26" t="s">
        <v>117</v>
      </c>
      <c r="C28" s="52"/>
      <c r="D28" s="19"/>
      <c r="E28" s="1"/>
    </row>
    <row r="29" spans="1:5" x14ac:dyDescent="0.25">
      <c r="A29" s="1"/>
      <c r="B29" s="69" t="s">
        <v>118</v>
      </c>
      <c r="C29" s="10">
        <v>0</v>
      </c>
      <c r="D29" s="11" t="s">
        <v>3</v>
      </c>
      <c r="E29" s="1"/>
    </row>
    <row r="30" spans="1:5" x14ac:dyDescent="0.25">
      <c r="A30" s="1"/>
      <c r="B30" s="26" t="s">
        <v>138</v>
      </c>
      <c r="C30" s="52"/>
      <c r="D30" s="19"/>
      <c r="E30" s="1"/>
    </row>
    <row r="31" spans="1:5" x14ac:dyDescent="0.25">
      <c r="A31" s="1"/>
      <c r="B31" s="69" t="s">
        <v>139</v>
      </c>
      <c r="C31" s="10">
        <v>0</v>
      </c>
      <c r="D31" s="11" t="s">
        <v>3</v>
      </c>
      <c r="E31" s="1"/>
    </row>
    <row r="32" spans="1:5" x14ac:dyDescent="0.25">
      <c r="A32" s="1"/>
      <c r="B32" s="51" t="s">
        <v>239</v>
      </c>
      <c r="C32" s="33">
        <v>35276128.57743296</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ZyozaqGj0umPzqgAPsM4bDdop6Pns45c+5oGxfYuL/GtiidqgSVRJPBYTYqtryAQKqeomuVmSL6VwC2ZkebY5A==" saltValue="qpaSs0VDkpsZxgkRHImWI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98" t="s">
        <v>44</v>
      </c>
      <c r="C4" s="99"/>
      <c r="D4" s="99"/>
      <c r="E4" s="99"/>
      <c r="F4" s="99"/>
      <c r="G4" s="99"/>
      <c r="H4" s="100"/>
      <c r="I4" s="1"/>
    </row>
    <row r="5" spans="1:9" x14ac:dyDescent="0.25">
      <c r="A5" s="1"/>
      <c r="B5" s="101" t="s">
        <v>36</v>
      </c>
      <c r="C5" s="102"/>
      <c r="D5" s="102"/>
      <c r="E5" s="102"/>
      <c r="F5" s="103"/>
      <c r="G5" s="47">
        <v>7366008.1889917059</v>
      </c>
      <c r="H5" s="14" t="s">
        <v>3</v>
      </c>
      <c r="I5" s="1"/>
    </row>
    <row r="6" spans="1:9" x14ac:dyDescent="0.25">
      <c r="A6" s="1"/>
      <c r="B6" s="101" t="s">
        <v>37</v>
      </c>
      <c r="C6" s="102"/>
      <c r="D6" s="102"/>
      <c r="E6" s="102"/>
      <c r="F6" s="103"/>
      <c r="G6" s="22">
        <f>G5*'Fane 13. Nøgletal'!C33</f>
        <v>147320.16377983411</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98" t="s">
        <v>45</v>
      </c>
      <c r="C9" s="99"/>
      <c r="D9" s="99"/>
      <c r="E9" s="99"/>
      <c r="F9" s="99"/>
      <c r="G9" s="99"/>
      <c r="H9" s="100"/>
      <c r="I9" s="1"/>
    </row>
    <row r="10" spans="1:9" x14ac:dyDescent="0.25">
      <c r="A10" s="1"/>
      <c r="B10" s="101" t="s">
        <v>38</v>
      </c>
      <c r="C10" s="102"/>
      <c r="D10" s="102"/>
      <c r="E10" s="102"/>
      <c r="F10" s="103"/>
      <c r="G10" s="22">
        <f>(G5-G6)*(1+'Fane 13. Nøgletal'!C9)</f>
        <v>7310365.3631320614</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146207.30726264123</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98" t="s">
        <v>46</v>
      </c>
      <c r="C15" s="99"/>
      <c r="D15" s="99"/>
      <c r="E15" s="99"/>
      <c r="F15" s="99"/>
      <c r="G15" s="99"/>
      <c r="H15" s="100"/>
      <c r="I15" s="1"/>
    </row>
    <row r="16" spans="1:9" x14ac:dyDescent="0.25">
      <c r="A16" s="1"/>
      <c r="B16" s="101" t="s">
        <v>40</v>
      </c>
      <c r="C16" s="102"/>
      <c r="D16" s="102"/>
      <c r="E16" s="102"/>
      <c r="F16" s="103"/>
      <c r="G16" s="22">
        <f>(G10+G11-G12)*(1+'Fane 13. Nøgletal'!C11)</f>
        <v>7285232.3270136127</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145704.64654027225</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98" t="s">
        <v>47</v>
      </c>
      <c r="C22" s="99"/>
      <c r="D22" s="99"/>
      <c r="E22" s="99"/>
      <c r="F22" s="99"/>
      <c r="G22" s="99"/>
      <c r="H22" s="100"/>
      <c r="I22" s="1"/>
    </row>
    <row r="23" spans="1:9" x14ac:dyDescent="0.25">
      <c r="A23" s="1"/>
      <c r="B23" s="101" t="s">
        <v>42</v>
      </c>
      <c r="C23" s="102"/>
      <c r="D23" s="102"/>
      <c r="E23" s="102"/>
      <c r="F23" s="103"/>
      <c r="G23" s="22">
        <f>(SUM(G16:G18)-G19)*(1+'Fane 13. Nøgletal'!C11)</f>
        <v>7260185.6982733393</v>
      </c>
      <c r="H23" s="14" t="s">
        <v>3</v>
      </c>
      <c r="I23" s="1"/>
    </row>
    <row r="24" spans="1:9" x14ac:dyDescent="0.25">
      <c r="A24" s="1"/>
      <c r="B24" s="104" t="s">
        <v>230</v>
      </c>
      <c r="C24" s="105"/>
      <c r="D24" s="105"/>
      <c r="E24" s="105"/>
      <c r="F24" s="106"/>
      <c r="G24" s="47">
        <v>0</v>
      </c>
      <c r="H24" s="14" t="s">
        <v>3</v>
      </c>
      <c r="I24" s="1"/>
    </row>
    <row r="25" spans="1:9" x14ac:dyDescent="0.25">
      <c r="A25" s="1"/>
      <c r="B25" s="101" t="s">
        <v>43</v>
      </c>
      <c r="C25" s="102"/>
      <c r="D25" s="102"/>
      <c r="E25" s="102"/>
      <c r="F25" s="103"/>
      <c r="G25" s="22">
        <f>(G23+G24)*'Fane 13. Nøgletal'!C33</f>
        <v>145203.7139654668</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98" t="s">
        <v>121</v>
      </c>
      <c r="C28" s="99"/>
      <c r="D28" s="99"/>
      <c r="E28" s="99"/>
      <c r="F28" s="99"/>
      <c r="G28" s="99"/>
      <c r="H28" s="100"/>
      <c r="I28" s="1"/>
    </row>
    <row r="29" spans="1:9" x14ac:dyDescent="0.25">
      <c r="A29" s="1"/>
      <c r="B29" s="101" t="s">
        <v>50</v>
      </c>
      <c r="C29" s="102"/>
      <c r="D29" s="102"/>
      <c r="E29" s="102"/>
      <c r="F29" s="103"/>
      <c r="G29" s="22">
        <f>(G23+G24-G25)*(1+'Fane 13. Nøgletal'!C13)</f>
        <v>7201784.7645164281</v>
      </c>
      <c r="H29" s="14" t="s">
        <v>3</v>
      </c>
      <c r="I29" s="1"/>
    </row>
    <row r="30" spans="1:9" x14ac:dyDescent="0.25">
      <c r="A30" s="1"/>
      <c r="B30" s="101" t="s">
        <v>231</v>
      </c>
      <c r="C30" s="102"/>
      <c r="D30" s="102"/>
      <c r="E30" s="102"/>
      <c r="F30" s="103"/>
      <c r="G30" s="47">
        <v>552297.39588575996</v>
      </c>
      <c r="H30" s="14" t="s">
        <v>3</v>
      </c>
      <c r="I30" s="1"/>
    </row>
    <row r="31" spans="1:9" x14ac:dyDescent="0.25">
      <c r="A31" s="1"/>
      <c r="B31" s="101" t="s">
        <v>115</v>
      </c>
      <c r="C31" s="102"/>
      <c r="D31" s="102"/>
      <c r="E31" s="102"/>
      <c r="F31" s="103"/>
      <c r="G31" s="22">
        <f>(G29+G30)*'Fane 13. Nøgletal'!C33</f>
        <v>155081.64320804377</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98" t="s">
        <v>122</v>
      </c>
      <c r="C34" s="99"/>
      <c r="D34" s="99"/>
      <c r="E34" s="99"/>
      <c r="F34" s="99"/>
      <c r="G34" s="99"/>
      <c r="H34" s="100"/>
      <c r="I34" s="1"/>
    </row>
    <row r="35" spans="1:9" x14ac:dyDescent="0.25">
      <c r="A35" s="1"/>
      <c r="B35" s="101" t="s">
        <v>69</v>
      </c>
      <c r="C35" s="102"/>
      <c r="D35" s="102"/>
      <c r="E35" s="102"/>
      <c r="F35" s="103"/>
      <c r="G35" s="22">
        <f>(G29+G30-G31)*(1+'Fane 13. Nøgletal'!C13)</f>
        <v>7691708.3235039134</v>
      </c>
      <c r="H35" s="14" t="s">
        <v>3</v>
      </c>
      <c r="I35" s="1"/>
    </row>
    <row r="36" spans="1:9" x14ac:dyDescent="0.25">
      <c r="A36" s="1"/>
      <c r="B36" s="101" t="s">
        <v>232</v>
      </c>
      <c r="C36" s="102"/>
      <c r="D36" s="102"/>
      <c r="E36" s="102"/>
      <c r="F36" s="103"/>
      <c r="G36" s="47">
        <v>0</v>
      </c>
      <c r="H36" s="14" t="s">
        <v>3</v>
      </c>
      <c r="I36" s="1"/>
    </row>
    <row r="37" spans="1:9" x14ac:dyDescent="0.25">
      <c r="A37" s="1"/>
      <c r="B37" s="101" t="s">
        <v>123</v>
      </c>
      <c r="C37" s="102"/>
      <c r="D37" s="102"/>
      <c r="E37" s="102"/>
      <c r="F37" s="103"/>
      <c r="G37" s="22">
        <f>(G35+G36)*'Fane 13. Nøgletal'!C33</f>
        <v>153834.16647007826</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98" t="s">
        <v>157</v>
      </c>
      <c r="C40" s="99"/>
      <c r="D40" s="99"/>
      <c r="E40" s="99"/>
      <c r="F40" s="99"/>
      <c r="G40" s="99"/>
      <c r="H40" s="100"/>
      <c r="I40" s="1"/>
    </row>
    <row r="41" spans="1:9" x14ac:dyDescent="0.25">
      <c r="A41" s="1"/>
      <c r="B41" s="101" t="s">
        <v>68</v>
      </c>
      <c r="C41" s="102"/>
      <c r="D41" s="102"/>
      <c r="E41" s="102"/>
      <c r="F41" s="103"/>
      <c r="G41" s="22">
        <f>(G35+G36-G37)*(1+'Fane 13. Nøgletal'!C15)</f>
        <v>7806222.4770242404</v>
      </c>
      <c r="H41" s="14" t="s">
        <v>3</v>
      </c>
      <c r="I41" s="1"/>
    </row>
    <row r="42" spans="1:9" x14ac:dyDescent="0.25">
      <c r="A42" s="1"/>
      <c r="B42" s="101" t="s">
        <v>156</v>
      </c>
      <c r="C42" s="102"/>
      <c r="D42" s="102"/>
      <c r="E42" s="102"/>
      <c r="F42" s="103"/>
      <c r="G42" s="22">
        <v>80082.210238560016</v>
      </c>
      <c r="H42" s="14" t="s">
        <v>3</v>
      </c>
      <c r="I42" s="1"/>
    </row>
    <row r="43" spans="1:9" x14ac:dyDescent="0.25">
      <c r="A43" s="1"/>
      <c r="B43" s="101" t="s">
        <v>166</v>
      </c>
      <c r="C43" s="102"/>
      <c r="D43" s="102"/>
      <c r="E43" s="102"/>
      <c r="F43" s="103"/>
      <c r="G43" s="22">
        <f>(G41+G42)*'Fane 13. Nøgletal'!C33</f>
        <v>157726.09374525602</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98" t="s">
        <v>158</v>
      </c>
      <c r="C46" s="99"/>
      <c r="D46" s="99"/>
      <c r="E46" s="99"/>
      <c r="F46" s="99"/>
      <c r="G46" s="99"/>
      <c r="H46" s="100"/>
      <c r="I46" s="1"/>
    </row>
    <row r="47" spans="1:9" x14ac:dyDescent="0.25">
      <c r="A47" s="1"/>
      <c r="B47" s="101" t="s">
        <v>112</v>
      </c>
      <c r="C47" s="102"/>
      <c r="D47" s="102"/>
      <c r="E47" s="102"/>
      <c r="F47" s="103"/>
      <c r="G47" s="22">
        <f>(G41+G42-G43)*(1+'Fane 13. Nøgletal'!C15)</f>
        <v>8003715.9914467698</v>
      </c>
      <c r="H47" s="14" t="s">
        <v>3</v>
      </c>
      <c r="I47" s="1"/>
    </row>
    <row r="48" spans="1:9" x14ac:dyDescent="0.25">
      <c r="A48" s="1"/>
      <c r="B48" s="101" t="s">
        <v>206</v>
      </c>
      <c r="C48" s="102"/>
      <c r="D48" s="102"/>
      <c r="E48" s="102"/>
      <c r="F48" s="103"/>
      <c r="G48" s="55">
        <f>('Fane 2.1. Økonomisk ramme 2024'!C9+'Fane 2.1. Økonomisk ramme 2024'!C11+'Fane 2.1. Økonomisk ramme 2024'!C13)*(1+'Fane 13. Nøgletal'!C16)</f>
        <v>0</v>
      </c>
      <c r="H48" s="14" t="s">
        <v>3</v>
      </c>
      <c r="I48" s="1"/>
    </row>
    <row r="49" spans="1:9" x14ac:dyDescent="0.25">
      <c r="A49" s="1"/>
      <c r="B49" s="101" t="s">
        <v>167</v>
      </c>
      <c r="C49" s="102"/>
      <c r="D49" s="102"/>
      <c r="E49" s="102"/>
      <c r="F49" s="103"/>
      <c r="G49" s="22">
        <f>G47*'Fane 13. Nøgletal'!C33+G48*'Fane 13. Nøgletal'!C33</f>
        <v>160074.3198289354</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98" t="s">
        <v>133</v>
      </c>
      <c r="C52" s="99"/>
      <c r="D52" s="99"/>
      <c r="E52" s="99"/>
      <c r="F52" s="99"/>
      <c r="G52" s="99"/>
      <c r="H52" s="100"/>
      <c r="I52" s="1"/>
    </row>
    <row r="53" spans="1:9" x14ac:dyDescent="0.25">
      <c r="A53" s="1"/>
      <c r="B53" s="101" t="s">
        <v>134</v>
      </c>
      <c r="C53" s="102"/>
      <c r="D53" s="102"/>
      <c r="E53" s="102"/>
      <c r="F53" s="103"/>
      <c r="G53" s="22">
        <f>(G47+G48-G49)*(1+'Fane 13. Nøgletal'!C16)</f>
        <v>8477407.9186845552</v>
      </c>
      <c r="H53" s="14" t="s">
        <v>3</v>
      </c>
      <c r="I53" s="1"/>
    </row>
    <row r="54" spans="1:9" x14ac:dyDescent="0.25">
      <c r="A54" s="1"/>
      <c r="B54" s="101" t="s">
        <v>135</v>
      </c>
      <c r="C54" s="102"/>
      <c r="D54" s="102"/>
      <c r="E54" s="102"/>
      <c r="F54" s="103"/>
      <c r="G54" s="22">
        <f>(G53)*'Fane 13. Nøgletal'!C33</f>
        <v>169548.15837369111</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98" t="s">
        <v>144</v>
      </c>
      <c r="C57" s="99"/>
      <c r="D57" s="99"/>
      <c r="E57" s="99"/>
      <c r="F57" s="99"/>
      <c r="G57" s="99"/>
      <c r="H57" s="100"/>
      <c r="I57" s="1"/>
    </row>
    <row r="58" spans="1:9" x14ac:dyDescent="0.25">
      <c r="A58" s="1"/>
      <c r="B58" s="101" t="s">
        <v>145</v>
      </c>
      <c r="C58" s="102"/>
      <c r="D58" s="102"/>
      <c r="E58" s="102"/>
      <c r="F58" s="103"/>
      <c r="G58" s="22">
        <f>(G53-G54)*(1+'Fane 13. Nøgletal'!C16)</f>
        <v>8979134.8289439809</v>
      </c>
      <c r="H58" s="14" t="s">
        <v>3</v>
      </c>
      <c r="I58" s="1"/>
    </row>
    <row r="59" spans="1:9" x14ac:dyDescent="0.25">
      <c r="A59" s="1"/>
      <c r="B59" s="101" t="s">
        <v>146</v>
      </c>
      <c r="C59" s="102"/>
      <c r="D59" s="102"/>
      <c r="E59" s="102"/>
      <c r="F59" s="103"/>
      <c r="G59" s="22">
        <f>(G58)*'Fane 13. Nøgletal'!C33</f>
        <v>179582.69657887961</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98" t="s">
        <v>220</v>
      </c>
      <c r="C62" s="99"/>
      <c r="D62" s="99"/>
      <c r="E62" s="99"/>
      <c r="F62" s="99"/>
      <c r="G62" s="99"/>
      <c r="H62" s="100"/>
      <c r="I62" s="1"/>
    </row>
    <row r="63" spans="1:9" x14ac:dyDescent="0.25">
      <c r="A63" s="1"/>
      <c r="B63" s="101" t="s">
        <v>221</v>
      </c>
      <c r="C63" s="102"/>
      <c r="D63" s="102"/>
      <c r="E63" s="102"/>
      <c r="F63" s="103"/>
      <c r="G63" s="22">
        <f>(G58-G59)*(1+'Fane 13. Nøgletal'!C16)</f>
        <v>9510555.9446602017</v>
      </c>
      <c r="H63" s="14" t="s">
        <v>3</v>
      </c>
      <c r="I63" s="1"/>
    </row>
    <row r="64" spans="1:9" x14ac:dyDescent="0.25">
      <c r="A64" s="1"/>
      <c r="B64" s="101" t="s">
        <v>222</v>
      </c>
      <c r="C64" s="102"/>
      <c r="D64" s="102"/>
      <c r="E64" s="102"/>
      <c r="F64" s="103"/>
      <c r="G64" s="22">
        <f>(G63)*'Fane 13. Nøgletal'!C33</f>
        <v>190211.11889320402</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T3iXwo6GhWgHdPbNTDvAGXGu3x4kRXNME+EDvu8UPFwpV/f8l30Wj5W63arQTDqX5rgE7mMg+0rH3BGomZb5Tw==" saltValue="LvgYxfPyYBtuCtv7kjfPn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98" t="s">
        <v>48</v>
      </c>
      <c r="C4" s="99"/>
      <c r="D4" s="99"/>
      <c r="E4" s="99"/>
      <c r="F4" s="99"/>
      <c r="G4" s="99"/>
      <c r="H4" s="100"/>
      <c r="I4" s="1"/>
    </row>
    <row r="5" spans="1:9" x14ac:dyDescent="0.25">
      <c r="A5" s="1"/>
      <c r="B5" s="101" t="s">
        <v>51</v>
      </c>
      <c r="C5" s="102"/>
      <c r="D5" s="102"/>
      <c r="E5" s="102"/>
      <c r="F5" s="103"/>
      <c r="G5" s="47">
        <v>11988291.767596437</v>
      </c>
      <c r="H5" s="14" t="s">
        <v>3</v>
      </c>
      <c r="I5" s="1"/>
    </row>
    <row r="6" spans="1:9" x14ac:dyDescent="0.25">
      <c r="A6" s="1"/>
      <c r="B6" s="101" t="s">
        <v>49</v>
      </c>
      <c r="C6" s="102"/>
      <c r="D6" s="102"/>
      <c r="E6" s="102"/>
      <c r="F6" s="103"/>
      <c r="G6" s="22">
        <f>G5*'Fane 13. Nøgletal'!C21</f>
        <v>109093.45508512759</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98" t="s">
        <v>52</v>
      </c>
      <c r="C9" s="99"/>
      <c r="D9" s="99"/>
      <c r="E9" s="99"/>
      <c r="F9" s="99"/>
      <c r="G9" s="99"/>
      <c r="H9" s="100"/>
      <c r="I9" s="1"/>
    </row>
    <row r="10" spans="1:9" x14ac:dyDescent="0.25">
      <c r="A10" s="1"/>
      <c r="B10" s="101" t="s">
        <v>53</v>
      </c>
      <c r="C10" s="102"/>
      <c r="D10" s="102"/>
      <c r="E10" s="102"/>
      <c r="F10" s="103"/>
      <c r="G10" s="22">
        <f>(G5-G6)*(1+'Fane 13. Nøgletal'!C9)</f>
        <v>12030064.131080203</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109473.58359282985</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98" t="s">
        <v>56</v>
      </c>
      <c r="C15" s="99"/>
      <c r="D15" s="99"/>
      <c r="E15" s="99"/>
      <c r="F15" s="99"/>
      <c r="G15" s="99"/>
      <c r="H15" s="100"/>
      <c r="I15" s="1"/>
    </row>
    <row r="16" spans="1:9" x14ac:dyDescent="0.25">
      <c r="A16" s="1"/>
      <c r="B16" s="101" t="s">
        <v>57</v>
      </c>
      <c r="C16" s="102"/>
      <c r="D16" s="102"/>
      <c r="E16" s="102"/>
      <c r="F16" s="103"/>
      <c r="G16" s="22">
        <f>(G10+G11-G12)*(1+'Fane 13. Nøgletal'!C11)</f>
        <v>12122048.527739909</v>
      </c>
      <c r="H16" s="14" t="s">
        <v>3</v>
      </c>
      <c r="I16" s="1"/>
    </row>
    <row r="17" spans="1:9" x14ac:dyDescent="0.25">
      <c r="A17" s="1"/>
      <c r="B17" s="101" t="s">
        <v>101</v>
      </c>
      <c r="C17" s="102"/>
      <c r="D17" s="102"/>
      <c r="E17" s="102"/>
      <c r="F17" s="103"/>
      <c r="G17" s="47">
        <v>86414.416099202193</v>
      </c>
      <c r="H17" s="14" t="s">
        <v>3</v>
      </c>
      <c r="I17" s="1"/>
    </row>
    <row r="18" spans="1:9" x14ac:dyDescent="0.25">
      <c r="A18" s="1"/>
      <c r="B18" s="104" t="s">
        <v>58</v>
      </c>
      <c r="C18" s="105"/>
      <c r="D18" s="105"/>
      <c r="E18" s="105"/>
      <c r="F18" s="106"/>
      <c r="G18" s="47">
        <v>0</v>
      </c>
      <c r="H18" s="14" t="s">
        <v>3</v>
      </c>
      <c r="I18" s="1"/>
    </row>
    <row r="19" spans="1:9" x14ac:dyDescent="0.25">
      <c r="A19" s="1"/>
      <c r="B19" s="101" t="s">
        <v>59</v>
      </c>
      <c r="C19" s="102"/>
      <c r="D19" s="102"/>
      <c r="E19" s="102"/>
      <c r="F19" s="103"/>
      <c r="G19" s="22">
        <f>(G16+G17+G18)*'Fane 13. Nøgletal'!C23</f>
        <v>106213.62761140025</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98" t="s">
        <v>60</v>
      </c>
      <c r="C22" s="99"/>
      <c r="D22" s="99"/>
      <c r="E22" s="99"/>
      <c r="F22" s="99"/>
      <c r="G22" s="99"/>
      <c r="H22" s="100"/>
      <c r="I22" s="1"/>
    </row>
    <row r="23" spans="1:9" x14ac:dyDescent="0.25">
      <c r="A23" s="1"/>
      <c r="B23" s="101" t="s">
        <v>61</v>
      </c>
      <c r="C23" s="102"/>
      <c r="D23" s="102"/>
      <c r="E23" s="102"/>
      <c r="F23" s="103"/>
      <c r="G23" s="22">
        <f>(SUM(G16:G18)-G19)*(1+'Fane 13. Nøgletal'!C11)</f>
        <v>12306777.329671957</v>
      </c>
      <c r="H23" s="14" t="s">
        <v>3</v>
      </c>
      <c r="I23" s="1"/>
    </row>
    <row r="24" spans="1:9" x14ac:dyDescent="0.25">
      <c r="A24" s="1"/>
      <c r="B24" s="104" t="s">
        <v>62</v>
      </c>
      <c r="C24" s="105"/>
      <c r="D24" s="105"/>
      <c r="E24" s="105"/>
      <c r="F24" s="106"/>
      <c r="G24" s="47">
        <v>162898.12211004586</v>
      </c>
      <c r="H24" s="14" t="s">
        <v>3</v>
      </c>
      <c r="I24" s="1"/>
    </row>
    <row r="25" spans="1:9" x14ac:dyDescent="0.25">
      <c r="A25" s="1"/>
      <c r="B25" s="101" t="s">
        <v>63</v>
      </c>
      <c r="C25" s="102"/>
      <c r="D25" s="102"/>
      <c r="E25" s="102"/>
      <c r="F25" s="103"/>
      <c r="G25" s="22">
        <f>G23*'Fane 13. Nøgletal'!C23+G24*'Fane 13. Nøgletal'!C24</f>
        <v>111695.26943607131</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98" t="s">
        <v>119</v>
      </c>
      <c r="C28" s="99"/>
      <c r="D28" s="99"/>
      <c r="E28" s="99"/>
      <c r="F28" s="99"/>
      <c r="G28" s="99"/>
      <c r="H28" s="100"/>
      <c r="I28" s="1"/>
    </row>
    <row r="29" spans="1:9" x14ac:dyDescent="0.25">
      <c r="A29" s="1"/>
      <c r="B29" s="101" t="s">
        <v>64</v>
      </c>
      <c r="C29" s="102"/>
      <c r="D29" s="102"/>
      <c r="E29" s="102"/>
      <c r="F29" s="103"/>
      <c r="G29" s="22">
        <f>(G23+G24-G25)*(1+'Fane 13. Nøgletal'!C13)</f>
        <v>12508747.540570553</v>
      </c>
      <c r="H29" s="14" t="s">
        <v>3</v>
      </c>
      <c r="I29" s="1"/>
    </row>
    <row r="30" spans="1:9" x14ac:dyDescent="0.25">
      <c r="A30" s="1"/>
      <c r="B30" s="101" t="s">
        <v>113</v>
      </c>
      <c r="C30" s="102"/>
      <c r="D30" s="102"/>
      <c r="E30" s="102"/>
      <c r="F30" s="103"/>
      <c r="G30" s="47">
        <v>772948.33226351999</v>
      </c>
      <c r="H30" s="14" t="s">
        <v>3</v>
      </c>
      <c r="I30" s="1"/>
    </row>
    <row r="31" spans="1:9" x14ac:dyDescent="0.25">
      <c r="A31" s="1"/>
      <c r="B31" s="101" t="s">
        <v>120</v>
      </c>
      <c r="C31" s="102"/>
      <c r="D31" s="102"/>
      <c r="E31" s="102"/>
      <c r="F31" s="103"/>
      <c r="G31" s="22">
        <f>(G29+G30)*'Fane 13. Nøgletal'!C25</f>
        <v>365246.63650293701</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98" t="s">
        <v>124</v>
      </c>
      <c r="C34" s="99"/>
      <c r="D34" s="99"/>
      <c r="E34" s="99"/>
      <c r="F34" s="99"/>
      <c r="G34" s="99"/>
      <c r="H34" s="100"/>
      <c r="I34" s="1"/>
    </row>
    <row r="35" spans="1:9" x14ac:dyDescent="0.25">
      <c r="A35" s="1"/>
      <c r="B35" s="101" t="s">
        <v>67</v>
      </c>
      <c r="C35" s="102"/>
      <c r="D35" s="102"/>
      <c r="E35" s="102"/>
      <c r="F35" s="103"/>
      <c r="G35" s="22">
        <f>(G29+G30-G31)*(1+'Fane 13. Nøgletal'!C13)</f>
        <v>13074029.917014377</v>
      </c>
      <c r="H35" s="14" t="s">
        <v>3</v>
      </c>
      <c r="I35" s="1"/>
    </row>
    <row r="36" spans="1:9" x14ac:dyDescent="0.25">
      <c r="A36" s="1"/>
      <c r="B36" s="101" t="s">
        <v>129</v>
      </c>
      <c r="C36" s="102"/>
      <c r="D36" s="102"/>
      <c r="E36" s="102"/>
      <c r="F36" s="103"/>
      <c r="G36" s="55">
        <v>0</v>
      </c>
      <c r="H36" s="14" t="s">
        <v>3</v>
      </c>
      <c r="I36" s="1"/>
    </row>
    <row r="37" spans="1:9" x14ac:dyDescent="0.25">
      <c r="A37" s="1"/>
      <c r="B37" s="101" t="s">
        <v>125</v>
      </c>
      <c r="C37" s="102"/>
      <c r="D37" s="102"/>
      <c r="E37" s="102"/>
      <c r="F37" s="103"/>
      <c r="G37" s="22">
        <f>G35*'Fane 13. Nøgletal'!C25+G36*'Fane 13. Nøgletal'!C26</f>
        <v>359535.82271789538</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98" t="s">
        <v>159</v>
      </c>
      <c r="C40" s="99"/>
      <c r="D40" s="99"/>
      <c r="E40" s="99"/>
      <c r="F40" s="99"/>
      <c r="G40" s="99"/>
      <c r="H40" s="100"/>
      <c r="I40" s="1"/>
    </row>
    <row r="41" spans="1:9" x14ac:dyDescent="0.25">
      <c r="A41" s="1"/>
      <c r="B41" s="101" t="s">
        <v>66</v>
      </c>
      <c r="C41" s="102"/>
      <c r="D41" s="102"/>
      <c r="E41" s="102"/>
      <c r="F41" s="103"/>
      <c r="G41" s="22">
        <f>(G35+G36-G37)*(1+'Fane 13. Nøgletal'!C15)</f>
        <v>13167130.084053436</v>
      </c>
      <c r="H41" s="14" t="s">
        <v>3</v>
      </c>
      <c r="I41" s="1"/>
    </row>
    <row r="42" spans="1:9" x14ac:dyDescent="0.25">
      <c r="A42" s="1"/>
      <c r="B42" s="101" t="s">
        <v>169</v>
      </c>
      <c r="C42" s="102"/>
      <c r="D42" s="102"/>
      <c r="E42" s="102"/>
      <c r="F42" s="103"/>
      <c r="G42" s="9">
        <v>9734.7862267200017</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98" t="s">
        <v>160</v>
      </c>
      <c r="C46" s="99"/>
      <c r="D46" s="99"/>
      <c r="E46" s="99"/>
      <c r="F46" s="99"/>
      <c r="G46" s="99"/>
      <c r="H46" s="100"/>
      <c r="I46" s="1"/>
    </row>
    <row r="47" spans="1:9" x14ac:dyDescent="0.25">
      <c r="A47" s="1"/>
      <c r="B47" s="101" t="s">
        <v>114</v>
      </c>
      <c r="C47" s="102"/>
      <c r="D47" s="102"/>
      <c r="E47" s="102"/>
      <c r="F47" s="103"/>
      <c r="G47" s="22">
        <f>(G41+G42-G43)*(1+'Fane 13. Nøgletal'!C15)</f>
        <v>13645961.259662131</v>
      </c>
      <c r="H47" s="14" t="s">
        <v>3</v>
      </c>
      <c r="I47" s="1"/>
    </row>
    <row r="48" spans="1:9" x14ac:dyDescent="0.25">
      <c r="A48" s="1"/>
      <c r="B48" s="101" t="s">
        <v>210</v>
      </c>
      <c r="C48" s="102"/>
      <c r="D48" s="102"/>
      <c r="E48" s="102"/>
      <c r="F48" s="103"/>
      <c r="G48" s="55">
        <f>('Fane 2.1. Økonomisk ramme 2024'!C10+'Fane 2.1. Økonomisk ramme 2024'!C12+'Fane 2.1. Økonomisk ramme 2024'!C14)*(1+'Fane 13. Nøgletal'!C16)</f>
        <v>0</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98" t="s">
        <v>130</v>
      </c>
      <c r="C52" s="99"/>
      <c r="D52" s="99"/>
      <c r="E52" s="99"/>
      <c r="F52" s="99"/>
      <c r="G52" s="99"/>
      <c r="H52" s="100"/>
      <c r="I52" s="1"/>
    </row>
    <row r="53" spans="1:9" x14ac:dyDescent="0.25">
      <c r="A53" s="1"/>
      <c r="B53" s="101" t="s">
        <v>131</v>
      </c>
      <c r="C53" s="102"/>
      <c r="D53" s="102"/>
      <c r="E53" s="102"/>
      <c r="F53" s="103"/>
      <c r="G53" s="22">
        <f>(G47+G48-G49)*(1+'Fane 13. Nøgletal'!C16)</f>
        <v>14748554.92944283</v>
      </c>
      <c r="H53" s="14" t="s">
        <v>3</v>
      </c>
      <c r="I53" s="1"/>
    </row>
    <row r="54" spans="1:9" x14ac:dyDescent="0.25">
      <c r="A54" s="1"/>
      <c r="B54" s="101" t="s">
        <v>132</v>
      </c>
      <c r="C54" s="102"/>
      <c r="D54" s="102"/>
      <c r="E54" s="102"/>
      <c r="F54" s="103"/>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98" t="s">
        <v>147</v>
      </c>
      <c r="C57" s="99"/>
      <c r="D57" s="99"/>
      <c r="E57" s="99"/>
      <c r="F57" s="99"/>
      <c r="G57" s="99"/>
      <c r="H57" s="100"/>
      <c r="I57" s="1"/>
    </row>
    <row r="58" spans="1:9" x14ac:dyDescent="0.25">
      <c r="A58" s="1"/>
      <c r="B58" s="101" t="s">
        <v>148</v>
      </c>
      <c r="C58" s="102"/>
      <c r="D58" s="102"/>
      <c r="E58" s="102"/>
      <c r="F58" s="103"/>
      <c r="G58" s="22">
        <f>(G53-G54)*(1+'Fane 13. Nøgletal'!C16)</f>
        <v>15940238.167741811</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98" t="s">
        <v>223</v>
      </c>
      <c r="C62" s="99"/>
      <c r="D62" s="99"/>
      <c r="E62" s="99"/>
      <c r="F62" s="99"/>
      <c r="G62" s="99"/>
      <c r="H62" s="100"/>
      <c r="I62" s="1"/>
    </row>
    <row r="63" spans="1:9" x14ac:dyDescent="0.25">
      <c r="A63" s="1"/>
      <c r="B63" s="101" t="s">
        <v>224</v>
      </c>
      <c r="C63" s="102"/>
      <c r="D63" s="102"/>
      <c r="E63" s="102"/>
      <c r="F63" s="103"/>
      <c r="G63" s="22">
        <f>(G58-G59)*(1+'Fane 13. Nøgletal'!C16)</f>
        <v>17228209.41169535</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itTItICvl3FLQdqCfqbn9+n2mBeQ8peU83h893BLtqkW7R0fgXDYXuEtWQCi5SCUfi5m8uuzpNBMuNOHdK+5og==" saltValue="ECKyryuaqEgjJgsT5Las8Q=="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8" t="s">
        <v>9</v>
      </c>
      <c r="C8" s="99"/>
      <c r="D8" s="99"/>
      <c r="E8" s="99"/>
      <c r="F8" s="99"/>
      <c r="G8" s="100"/>
      <c r="H8" s="1"/>
    </row>
    <row r="9" spans="1:8" x14ac:dyDescent="0.25">
      <c r="A9" s="1"/>
      <c r="B9" s="62" t="s">
        <v>150</v>
      </c>
      <c r="C9" s="63"/>
      <c r="D9" s="63"/>
      <c r="E9" s="63"/>
      <c r="F9" s="64"/>
      <c r="G9" s="60">
        <v>1.6714402793908975E-3</v>
      </c>
      <c r="H9" s="1"/>
    </row>
    <row r="10" spans="1:8" x14ac:dyDescent="0.25">
      <c r="A10" s="1"/>
      <c r="B10" s="51"/>
      <c r="C10" s="52"/>
      <c r="D10" s="52"/>
      <c r="E10" s="52"/>
      <c r="F10" s="52"/>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xL7EY+bAJYcCewEyKRIzsE1jzotW3zlpRpCsV/MvVzSdT03ulQ2i+B72H64QQPE0YpiwvJ8o0rpmDvt6GYxtcQ==" saltValue="pxnV0RMiHXJZPX7QN+/PZA=="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2023-09-25T13:05:53Z</dcterms:modified>
</cp:coreProperties>
</file>