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Denne_projektmappe" defaultThemeVersion="124226"/>
  <mc:AlternateContent xmlns:mc="http://schemas.openxmlformats.org/markup-compatibility/2006">
    <mc:Choice Requires="x15">
      <x15ac:absPath xmlns:x15ac="http://schemas.microsoft.com/office/spreadsheetml/2010/11/ac" url="E:\VAND\Sagsbehandling\Spildevand\DIN Forsyning Spildevand AS (S015)\ØR2021\"/>
    </mc:Choice>
  </mc:AlternateContent>
  <bookViews>
    <workbookView xWindow="3105" yWindow="990" windowWidth="12735" windowHeight="4620" tabRatio="872"/>
  </bookViews>
  <sheets>
    <sheet name="1. Forside" sheetId="1" r:id="rId1"/>
    <sheet name="Fane 2.1. Økonomisk ramme 2021" sheetId="2" r:id="rId2"/>
    <sheet name="Fane 2.2. Økonomisk ramme 2022" sheetId="15" r:id="rId3"/>
    <sheet name="Fane 2.3. Økonomisk ramme 2023" sheetId="22" r:id="rId4"/>
    <sheet name="Fane 2.4. Økonomisk ramme 2024" sheetId="23" r:id="rId5"/>
    <sheet name="Fane 3. Omkostninger i ØR2020" sheetId="27" r:id="rId6"/>
    <sheet name="Fane 4.1. Gen. krav - drift" sheetId="30" r:id="rId7"/>
    <sheet name="Fane 4.2. Gen. krav - anlæg" sheetId="36" r:id="rId8"/>
    <sheet name="Fane 5. Individuelt eff. krav" sheetId="31" r:id="rId9"/>
    <sheet name="Fane 6. Ikke-påvirkelige omk." sheetId="19" r:id="rId10"/>
    <sheet name="Fane 7. Kontrol af ØR2019" sheetId="32" r:id="rId11"/>
    <sheet name="Fane 8. Korrektion af ØR2019" sheetId="40" r:id="rId12"/>
    <sheet name="Fane 9. Anlægsprojekter" sheetId="11" r:id="rId13"/>
    <sheet name="Fane 10.1. Varige tillæg" sheetId="37" r:id="rId14"/>
    <sheet name="Fane 10.2. Engangstillæg" sheetId="39" r:id="rId15"/>
    <sheet name="Fane 11. Periodevise driftsomk." sheetId="20" r:id="rId16"/>
    <sheet name="Fane 12. Tilknyttet virksomhed" sheetId="29" r:id="rId17"/>
    <sheet name="Fane 13. Bortfald" sheetId="21" r:id="rId18"/>
    <sheet name="Fane 14. Nøgletal" sheetId="26" r:id="rId19"/>
  </sheets>
  <calcPr calcId="162913"/>
</workbook>
</file>

<file path=xl/calcChain.xml><?xml version="1.0" encoding="utf-8"?>
<calcChain xmlns="http://schemas.openxmlformats.org/spreadsheetml/2006/main">
  <c r="E12" i="20" l="1"/>
  <c r="E12" i="39" l="1"/>
  <c r="C12" i="39"/>
  <c r="G103" i="11" l="1"/>
  <c r="F103" i="11"/>
  <c r="E103" i="11"/>
  <c r="E11" i="11"/>
  <c r="E12" i="11"/>
  <c r="E13" i="11"/>
  <c r="E14" i="11"/>
  <c r="E15" i="11"/>
  <c r="E16" i="11"/>
  <c r="E17" i="11"/>
  <c r="E18" i="11"/>
  <c r="E19" i="11"/>
  <c r="E20" i="11"/>
  <c r="E21" i="11"/>
  <c r="E22" i="11"/>
  <c r="E23" i="11"/>
  <c r="E24" i="11"/>
  <c r="E25" i="11"/>
  <c r="E26" i="11"/>
  <c r="E27" i="11"/>
  <c r="E28" i="11"/>
  <c r="E29" i="11"/>
  <c r="E30" i="11"/>
  <c r="E31" i="11"/>
  <c r="E32" i="11"/>
  <c r="E33" i="11"/>
  <c r="E34" i="11"/>
  <c r="E35" i="11"/>
  <c r="E36" i="11"/>
  <c r="E37" i="11"/>
  <c r="E38" i="11"/>
  <c r="E39" i="11"/>
  <c r="E40" i="11"/>
  <c r="E41" i="11"/>
  <c r="E42" i="11"/>
  <c r="E43" i="11"/>
  <c r="E44" i="11"/>
  <c r="E45" i="11"/>
  <c r="E46" i="11"/>
  <c r="E47" i="11"/>
  <c r="E48" i="11"/>
  <c r="E49" i="11"/>
  <c r="E50" i="11"/>
  <c r="E51" i="11"/>
  <c r="E52" i="11"/>
  <c r="E53" i="11"/>
  <c r="E54" i="11"/>
  <c r="E55" i="11"/>
  <c r="E56" i="11"/>
  <c r="E57" i="11"/>
  <c r="E58" i="11"/>
  <c r="E59" i="11"/>
  <c r="E60" i="11"/>
  <c r="E61" i="11"/>
  <c r="E62" i="11"/>
  <c r="E63" i="11"/>
  <c r="E64" i="11"/>
  <c r="E65" i="11"/>
  <c r="E66" i="11"/>
  <c r="E67" i="11"/>
  <c r="E68" i="11"/>
  <c r="E69" i="11"/>
  <c r="E70" i="11"/>
  <c r="E71" i="11"/>
  <c r="E72" i="11"/>
  <c r="E73" i="11"/>
  <c r="E74" i="11"/>
  <c r="E75" i="11"/>
  <c r="E76" i="11"/>
  <c r="E77" i="11"/>
  <c r="E78" i="11"/>
  <c r="E79" i="11"/>
  <c r="E80" i="11"/>
  <c r="E81" i="11"/>
  <c r="E82" i="11"/>
  <c r="E83" i="11"/>
  <c r="E84" i="11"/>
  <c r="E85" i="11"/>
  <c r="E86" i="11"/>
  <c r="E87" i="11"/>
  <c r="E88" i="11"/>
  <c r="E89" i="11"/>
  <c r="E90" i="11"/>
  <c r="E91" i="11"/>
  <c r="E92" i="11"/>
  <c r="E93" i="11"/>
  <c r="E94" i="11"/>
  <c r="E95" i="11"/>
  <c r="E96" i="11"/>
  <c r="E97" i="11"/>
  <c r="E98" i="11"/>
  <c r="E99" i="11"/>
  <c r="E100" i="11"/>
  <c r="E16" i="40" l="1"/>
  <c r="E12" i="40"/>
  <c r="C15" i="19" l="1"/>
  <c r="E28" i="32" l="1"/>
  <c r="E32" i="32" l="1"/>
  <c r="C30" i="2" s="1"/>
  <c r="E20" i="32"/>
  <c r="E12" i="32"/>
  <c r="E38" i="32" s="1"/>
  <c r="E16" i="27" l="1"/>
  <c r="E17" i="27" s="1"/>
  <c r="E101" i="11" l="1"/>
  <c r="E102" i="11"/>
  <c r="E10" i="11"/>
  <c r="G8" i="30" l="1"/>
  <c r="E29" i="20" l="1"/>
  <c r="E23" i="20"/>
  <c r="E17" i="20"/>
  <c r="E11" i="20"/>
  <c r="E40" i="32" l="1"/>
  <c r="C26" i="22" l="1"/>
  <c r="C26" i="15"/>
  <c r="E17" i="40" l="1"/>
  <c r="E28" i="20"/>
  <c r="E30" i="20" s="1"/>
  <c r="E22" i="20"/>
  <c r="E16" i="20"/>
  <c r="E10" i="20"/>
  <c r="E24" i="20" l="1"/>
  <c r="C20" i="22" s="1"/>
  <c r="E18" i="20"/>
  <c r="C20" i="15" s="1"/>
  <c r="C24" i="2"/>
  <c r="C20" i="23"/>
  <c r="C32" i="2" l="1"/>
  <c r="E29" i="21"/>
  <c r="E30" i="21" s="1"/>
  <c r="G48" i="36" s="1"/>
  <c r="C29" i="21"/>
  <c r="C30" i="21" s="1"/>
  <c r="G53" i="30" s="1"/>
  <c r="E23" i="21"/>
  <c r="E24" i="21" s="1"/>
  <c r="G42" i="36" s="1"/>
  <c r="C23" i="21"/>
  <c r="C24" i="21" s="1"/>
  <c r="G45" i="30" s="1"/>
  <c r="E17" i="21"/>
  <c r="E18" i="21" s="1"/>
  <c r="G36" i="36" s="1"/>
  <c r="C17" i="21"/>
  <c r="C18" i="21" s="1"/>
  <c r="G39" i="30" s="1"/>
  <c r="C11" i="15" l="1"/>
  <c r="C10" i="22"/>
  <c r="C11" i="22"/>
  <c r="C10" i="15"/>
  <c r="C10" i="23"/>
  <c r="C11" i="23"/>
  <c r="E36" i="39"/>
  <c r="C36" i="39"/>
  <c r="E28" i="39"/>
  <c r="C28" i="39"/>
  <c r="E20" i="39"/>
  <c r="E22" i="39" s="1"/>
  <c r="C20" i="39"/>
  <c r="C22" i="39" s="1"/>
  <c r="E14" i="39"/>
  <c r="C14" i="39"/>
  <c r="E38" i="39" l="1"/>
  <c r="E37" i="39"/>
  <c r="C38" i="39"/>
  <c r="C37" i="39"/>
  <c r="E30" i="39"/>
  <c r="E29" i="39"/>
  <c r="C30" i="39"/>
  <c r="C29" i="39"/>
  <c r="E21" i="39"/>
  <c r="E13" i="39"/>
  <c r="C21" i="39"/>
  <c r="C13" i="39"/>
  <c r="C15" i="39" s="1"/>
  <c r="C31" i="39" l="1"/>
  <c r="C22" i="22" s="1"/>
  <c r="C39" i="39"/>
  <c r="C22" i="23" s="1"/>
  <c r="E31" i="39"/>
  <c r="C23" i="22" s="1"/>
  <c r="E39" i="39"/>
  <c r="C23" i="23" s="1"/>
  <c r="E23" i="39"/>
  <c r="C23" i="15" s="1"/>
  <c r="C23" i="39"/>
  <c r="C22" i="15" s="1"/>
  <c r="E15" i="39"/>
  <c r="C27" i="2" s="1"/>
  <c r="C26" i="2"/>
  <c r="C24" i="23" l="1"/>
  <c r="C24" i="22"/>
  <c r="C24" i="15"/>
  <c r="C28" i="2"/>
  <c r="G6" i="36" l="1"/>
  <c r="G10" i="36" l="1"/>
  <c r="G13" i="36" l="1"/>
  <c r="G12" i="30"/>
  <c r="G17" i="36" l="1"/>
  <c r="G19" i="36" s="1"/>
  <c r="G16" i="30"/>
  <c r="G20" i="30" s="1"/>
  <c r="G23" i="36" l="1"/>
  <c r="G25" i="36" s="1"/>
  <c r="G22" i="30"/>
  <c r="G26" i="30" s="1"/>
  <c r="G29" i="36" l="1"/>
  <c r="E19" i="27"/>
  <c r="C10" i="37" l="1"/>
  <c r="C14" i="37" s="1"/>
  <c r="C15" i="37" l="1"/>
  <c r="C10" i="2" s="1"/>
  <c r="E11" i="21"/>
  <c r="E12" i="21" s="1"/>
  <c r="C11" i="21"/>
  <c r="C12" i="21" s="1"/>
  <c r="E11" i="29"/>
  <c r="E12" i="29" s="1"/>
  <c r="C11" i="29"/>
  <c r="C12" i="29" s="1"/>
  <c r="C16" i="19"/>
  <c r="C18" i="23" l="1"/>
  <c r="C18" i="15"/>
  <c r="C18" i="22"/>
  <c r="C15" i="2"/>
  <c r="C14" i="2"/>
  <c r="C22" i="2"/>
  <c r="C12" i="2"/>
  <c r="G33" i="30" s="1"/>
  <c r="C13" i="2"/>
  <c r="G28" i="30" l="1"/>
  <c r="E18" i="27" s="1"/>
  <c r="E20" i="27" l="1"/>
  <c r="C9" i="2" s="1"/>
  <c r="G32" i="30"/>
  <c r="E10" i="37"/>
  <c r="E14" i="37" s="1"/>
  <c r="E35" i="27" l="1"/>
  <c r="E15" i="37"/>
  <c r="C11" i="2" s="1"/>
  <c r="G34" i="30"/>
  <c r="G38" i="30" l="1"/>
  <c r="G40" i="30" s="1"/>
  <c r="C18" i="2"/>
  <c r="C16" i="2"/>
  <c r="C17" i="2" s="1"/>
  <c r="G30" i="36"/>
  <c r="G31" i="36" l="1"/>
  <c r="C19" i="2" s="1"/>
  <c r="C20" i="2" s="1"/>
  <c r="C33" i="2" s="1"/>
  <c r="G44" i="30"/>
  <c r="C14" i="15"/>
  <c r="G35" i="36" l="1"/>
  <c r="C9" i="15"/>
  <c r="C12" i="15" s="1"/>
  <c r="G46" i="30"/>
  <c r="G52" i="30" l="1"/>
  <c r="G54" i="30" s="1"/>
  <c r="C14" i="23" s="1"/>
  <c r="C14" i="22"/>
  <c r="G37" i="36"/>
  <c r="C13" i="15"/>
  <c r="G41" i="36" l="1"/>
  <c r="G43" i="36" s="1"/>
  <c r="C15" i="15"/>
  <c r="C16" i="15" s="1"/>
  <c r="G47" i="36" l="1"/>
  <c r="G49" i="36" s="1"/>
  <c r="C15" i="23" s="1"/>
  <c r="C15" i="22"/>
  <c r="C27" i="15"/>
  <c r="C9" i="22"/>
  <c r="C12" i="22" s="1"/>
  <c r="C13" i="22" l="1"/>
  <c r="C16" i="22" l="1"/>
  <c r="C27" i="22" s="1"/>
  <c r="C9" i="23" l="1"/>
  <c r="C12" i="23" s="1"/>
  <c r="C13" i="23" l="1"/>
  <c r="C16" i="23" s="1"/>
  <c r="C25" i="23" s="1"/>
</calcChain>
</file>

<file path=xl/sharedStrings.xml><?xml version="1.0" encoding="utf-8"?>
<sst xmlns="http://schemas.openxmlformats.org/spreadsheetml/2006/main" count="975" uniqueCount="310">
  <si>
    <t>Beskrivelse af investeringen</t>
  </si>
  <si>
    <t>Std. levetid (år)</t>
  </si>
  <si>
    <t>Afskrivning</t>
  </si>
  <si>
    <t>kr.</t>
  </si>
  <si>
    <t>Bilag A</t>
  </si>
  <si>
    <t>Indholdsfortegnelse</t>
  </si>
  <si>
    <t>Fane 2.1</t>
  </si>
  <si>
    <t>Fane 5</t>
  </si>
  <si>
    <t>Fane 8</t>
  </si>
  <si>
    <t>Fane 9</t>
  </si>
  <si>
    <t>Individuelt effektiviseringskrav</t>
  </si>
  <si>
    <t>Anskaf-felsespris (kr.)</t>
  </si>
  <si>
    <t>Driftsomkostninger</t>
  </si>
  <si>
    <t>Ikke-påvirkelige omkostninger</t>
  </si>
  <si>
    <t>Oversigt over den økonomiske ramme</t>
  </si>
  <si>
    <t>Prisudvikling</t>
  </si>
  <si>
    <t>Fane 12</t>
  </si>
  <si>
    <t>Fane 2.2</t>
  </si>
  <si>
    <t>Beskrivelse af tillæg</t>
  </si>
  <si>
    <t>Beskrivelse af bortfald eller nedsættelse</t>
  </si>
  <si>
    <t>Prisudvikling i kr.</t>
  </si>
  <si>
    <t>år</t>
  </si>
  <si>
    <t>Omkostninger i alt</t>
  </si>
  <si>
    <t>Vejledende</t>
  </si>
  <si>
    <t>Prisudvikling til brug for nye omkostninger i ØR2019</t>
  </si>
  <si>
    <t>Videreførte omkostninger fra den økonomiske ramme for 2019</t>
  </si>
  <si>
    <t>Økonomisk ramme for 2020</t>
  </si>
  <si>
    <t>Videreførte omkostninger fra den økonomiske ramme for 2020</t>
  </si>
  <si>
    <t>Videreførte omkostninger fra den økonomiske ramme for 2021</t>
  </si>
  <si>
    <t>Generelt effektiviseringskrav - Drift</t>
  </si>
  <si>
    <t>Generelt effektiviseringskrav - Anlæg</t>
  </si>
  <si>
    <t>Bortfald eller nedsættelse af omkostninger - Anlæg</t>
  </si>
  <si>
    <t>Bortfald eller nedsættelse af omkostninger - Drift</t>
  </si>
  <si>
    <t>Tidligere tilknyttet aktivitet - Anlæg</t>
  </si>
  <si>
    <t>Tidligere tilknyttet aktivitet - Drift</t>
  </si>
  <si>
    <t>Økonomisk ramme for 2021</t>
  </si>
  <si>
    <t>Økonomisk ramme for 2022</t>
  </si>
  <si>
    <t>Finansielle omkostninger</t>
  </si>
  <si>
    <t>Anlægsomkostninger</t>
  </si>
  <si>
    <t>Beskrivelse af ikke-påvirkelige omkostninger</t>
  </si>
  <si>
    <t>- Heraf Faktisk eller planlagt genanbringelse af væsentlige indtægter</t>
  </si>
  <si>
    <t>Fane 2.3</t>
  </si>
  <si>
    <t>Fane 2.4</t>
  </si>
  <si>
    <t>Samlet økonomisk ramme for 2021</t>
  </si>
  <si>
    <t>Anlægsprojekter</t>
  </si>
  <si>
    <t>Bortfald</t>
  </si>
  <si>
    <t>Fane 13</t>
  </si>
  <si>
    <t>Fane 14</t>
  </si>
  <si>
    <t>Nye tillæg - Drift</t>
  </si>
  <si>
    <t>Nye tillæg - Anlæg</t>
  </si>
  <si>
    <t>Nye tillæg i alt i 2019-prisniveau</t>
  </si>
  <si>
    <t>Bortfald eller nedsættelse i alt i 2019-prisniveau</t>
  </si>
  <si>
    <t>Kontrol med overholdelse af den økonomiske ramme for 2018</t>
  </si>
  <si>
    <t>Indtægtsramme i den økonomiske ramme for 2018</t>
  </si>
  <si>
    <t>Faktiske indtægter i 2018</t>
  </si>
  <si>
    <t>Difference (2018-prisniveau)</t>
  </si>
  <si>
    <t>Driftsomkostninger i grundlaget til de økonomiske rammer for 2017</t>
  </si>
  <si>
    <t>Generelt effektiviseringskrav til driftsomkostningerne i ØR17</t>
  </si>
  <si>
    <t>Base for driftsomkostninger til de økonomiske rammer for 2018</t>
  </si>
  <si>
    <t>Nye driftsomkostninger til de økonomiske rammer for 2018</t>
  </si>
  <si>
    <t>Generelt effektiviseringskrav til driftsomkostningerne i ØR18</t>
  </si>
  <si>
    <t>Base for driftsomkostninger til de økonomiske rammer for 2019</t>
  </si>
  <si>
    <t>Nye driftsomkostninger til de økonomiske rammer for 2019</t>
  </si>
  <si>
    <t>Generelt effektiviseringskrav til driftsomkostningerne i ØR19</t>
  </si>
  <si>
    <t>Base for driftsomkostninger til de økonomiske rammer for 2020</t>
  </si>
  <si>
    <t>Nye driftsomkostninger til de økonomiske rammer for 2020</t>
  </si>
  <si>
    <t>Generelt effektiviseringskrav til driftsomkostningerne i ØR20</t>
  </si>
  <si>
    <t>Generelt effektiviseringskrav til driftsomkostninger i de økonomiske rammer for 2017</t>
  </si>
  <si>
    <t>Generelt effektiviseringskrav til driftsomkostninger i de økonomiske rammer for 2018</t>
  </si>
  <si>
    <t>Generelt effektiviseringskrav til driftsomkostninger i de økonomiske rammer for 2019</t>
  </si>
  <si>
    <t>Generelt effektiviseringskrav til driftsomkostninger i de økonomiske rammer for 2020</t>
  </si>
  <si>
    <t>Generelt effektiviseringskrav til anlægsomkostninger i de økonomiske rammer for 2017</t>
  </si>
  <si>
    <t>Generelt effektiviseringskrav til anlægsomkostningerne i ØR17</t>
  </si>
  <si>
    <t>Generelt effektiviseringskrav til driftsomkostninger i de økonomiske rammer for 2021</t>
  </si>
  <si>
    <t>Base for driftsomkostninger til de økonomiske rammer for 2021</t>
  </si>
  <si>
    <t>Generelt effektiviseringskrav til driftsomkostningerne i ØR21</t>
  </si>
  <si>
    <t>Vejledende generelt effektiviseringskrav til driftsomkostningerne i ØR22</t>
  </si>
  <si>
    <t>Vejledende generelt effektiviseringskrav til driftsomkostningerne i ØR23</t>
  </si>
  <si>
    <t>Anlægssomkostninger i grundlaget til de økonomiske rammer for 2017</t>
  </si>
  <si>
    <t>Generelt effektiviseringskrav til anlægsomkostninger i de økonomiske rammer for 2018</t>
  </si>
  <si>
    <t>Base for anlægsomkostninger til de økonomiske rammer for 2018</t>
  </si>
  <si>
    <t>Nye anlægsomkostninger til de økonomiske rammer for 2018</t>
  </si>
  <si>
    <t>Generelt effektiviseringskrav til anlægsomkostningerne i ØR18</t>
  </si>
  <si>
    <t>Generelt effektiviseringskrav til anlægsomkostninger i de økonomiske rammer for 2019</t>
  </si>
  <si>
    <t>Base for anlægsomkostninger til de økonomiske rammer for 2019</t>
  </si>
  <si>
    <t>Nye anlægsomkostninger til de økonomiske rammer for 2019</t>
  </si>
  <si>
    <t>Generelt effektiviseringskrav til anlægsomkostningerne i ØR19</t>
  </si>
  <si>
    <t>Generelt effektiviseringskrav til anlægsomkostninger i de økonomiske rammer for 2020</t>
  </si>
  <si>
    <t>Base for anlægsomkostninger til de økonomiske rammer for 2020</t>
  </si>
  <si>
    <t>Nye anlægsomkostninger til de økonomiske rammer for 2020</t>
  </si>
  <si>
    <t>Generelt effektiviseringskrav til anlægsomkostningerne i ØR20</t>
  </si>
  <si>
    <t>Generelt effektiviseringskrav til anlægsomkostninger i de økonomiske rammer for 2021</t>
  </si>
  <si>
    <t>Base for anlægsomkostninger til de økonomiske rammer for 2021</t>
  </si>
  <si>
    <t>Generelt effektiviseringskrav til anlægsomkostningerne i ØR21</t>
  </si>
  <si>
    <t>Vejledende generelt effektiviseringskrav til anlægsomkostningerne i ØR22</t>
  </si>
  <si>
    <t>Vejledende generelt effektiviseringskrav til anlægsomkostningerne i ØR23</t>
  </si>
  <si>
    <t>Base for anlægsomkostninger til de vejledende økonomiske rammer for 2023</t>
  </si>
  <si>
    <t>Base for anlægsomkostninger til de vejledende økonomiske rammer for 2022</t>
  </si>
  <si>
    <t>Base for driftsomkostninger til de vejledende økonomiske rammer for 2023</t>
  </si>
  <si>
    <t>Base for driftsomkostninger til de vejledende økonomiske rammer for 2022</t>
  </si>
  <si>
    <t>Generelt effektiviseringskrav til driftsomkostninger i de vejledende økonomiske rammer for 2022</t>
  </si>
  <si>
    <t>Generelt effektiviseringskrav til driftsomkostninger i de vejledende økonomiske rammer for 2023</t>
  </si>
  <si>
    <t>Generelt effektiviseringskrav til anlægsomkostninger i de vejledende økonomiske rammer for 2022</t>
  </si>
  <si>
    <t>Generelt effektiviseringskrav til anlægsomkostninger i de vejledende økonomiske rammer for 2023</t>
  </si>
  <si>
    <t>Individuelt effektiviseringskrav til de økonomiske rammer for 2017</t>
  </si>
  <si>
    <t>Individuelt effektiviseringskrav til de økonomiske rammer for 2018-2019</t>
  </si>
  <si>
    <t>Individuelt effektiviseringskrav til de økonomiske rammer for 2020-2021</t>
  </si>
  <si>
    <t>Vejledende økonomisk ramme for 2023</t>
  </si>
  <si>
    <t>Nye varige tillæg</t>
  </si>
  <si>
    <t>Engangstillæg - Drift</t>
  </si>
  <si>
    <t>Engangstillæg - Anlæg</t>
  </si>
  <si>
    <t>Fane 7</t>
  </si>
  <si>
    <t>Varige tillæg</t>
  </si>
  <si>
    <t>Engangstillæg</t>
  </si>
  <si>
    <t>Periodevise driftsomkostninger</t>
  </si>
  <si>
    <t>Engangstillæg i alt</t>
  </si>
  <si>
    <t>Fane 5: Individuelt effektiviseringskrav</t>
  </si>
  <si>
    <t>Bortfald af driftsomkostninger i de økonomiske rammer for 2022</t>
  </si>
  <si>
    <t>Bortfald af driftsomkostninger i de økonomiske rammer for 2023</t>
  </si>
  <si>
    <t>Bortfald eller nedsættelse i alt i 2020-prisniveau</t>
  </si>
  <si>
    <t>Bortfald eller nedsættelse i alt i 2021-prisniveau</t>
  </si>
  <si>
    <t>Bortfald eller nedsættelse i alt i 2022-prisniveau</t>
  </si>
  <si>
    <t>Bortfald af anlægsomkostninger i de økonomiske rammer for 2022</t>
  </si>
  <si>
    <t>Bortfald af anlægsomkostninger i de økonomiske rammer for 2023</t>
  </si>
  <si>
    <t>Økonomisk ramme for 2023</t>
  </si>
  <si>
    <t>Periodevise driftsomkostninger til de økonomiske rammer for 2021</t>
  </si>
  <si>
    <t>Periodevise driftsomkostninger til de økonomiske rammer for 2022</t>
  </si>
  <si>
    <t>Periodevise driftsomkostninger til de økonomiske rammer for 2023</t>
  </si>
  <si>
    <t>Periodevise driftsomkostninger i alt i 2021-prisniveau</t>
  </si>
  <si>
    <t>Periodevise driftsomkostninger i alt i 2022-prisniveau</t>
  </si>
  <si>
    <t>Periodevise driftsomkostninger i alt i 2023-prisniveau</t>
  </si>
  <si>
    <t>Bortfald eller nedsættelse fra og med de økonomiske rammer for 2022</t>
  </si>
  <si>
    <t>Bortfald eller nedsættelse fra og med de økonomiske rammer for 2021</t>
  </si>
  <si>
    <t>Bortfald eller nedsættelse fra og med de økonomiske rammer for 2023</t>
  </si>
  <si>
    <t>Korrektion af tidligere godkendte omkostninger til medfinansiering af klimatilpasningsprojekter</t>
  </si>
  <si>
    <t>Generelt effektiviseringskrav på drift</t>
  </si>
  <si>
    <t>Generelt effektiviseringskrav på anlæg</t>
  </si>
  <si>
    <t>Kontrol med overholdelse af den økonomiske ramme for 2017</t>
  </si>
  <si>
    <t>Indtægtsramme i den økonomiske ramme for 2017</t>
  </si>
  <si>
    <t>Faktiske indtægter i 2017</t>
  </si>
  <si>
    <t>Difference (2017-prisniveau)</t>
  </si>
  <si>
    <t>Engangstillæg til de økonomiske rammer for 2021</t>
  </si>
  <si>
    <t>Engangstillæg til de økonomiske rammer for 2022</t>
  </si>
  <si>
    <t>Engangstillæg til de økonomiske rammer for 2023</t>
  </si>
  <si>
    <t>Engangstillæg i alt i 2021-prisniveau</t>
  </si>
  <si>
    <t>Generelt effektiviseringskrav</t>
  </si>
  <si>
    <t>Tillæg til tilbagebetaling af vejbidrag</t>
  </si>
  <si>
    <t>Tillæg til den økonomiske ramme for 2021</t>
  </si>
  <si>
    <t>Tillæg til den økonomiske ramme for 2022</t>
  </si>
  <si>
    <t>Tillæg til den økonomiske ramme for 2023</t>
  </si>
  <si>
    <t>Samlede tillæg til periodevise driftsomkostninger jf. indmeldte oprensningsplan</t>
  </si>
  <si>
    <t>Difference (Korrektion)</t>
  </si>
  <si>
    <t>Antal år i næste reguleringsperiode</t>
  </si>
  <si>
    <t>Generelt effektiviseringskrav til anlægsomkostningerne</t>
  </si>
  <si>
    <t>Generelt effektiviseringskrav til driftsomkostningerne</t>
  </si>
  <si>
    <t>Nøgletal</t>
  </si>
  <si>
    <t xml:space="preserve">Note: Denne opgørelse er taget fra jeres statusmeddelelse for den økonomiske ramme for 2019. I kan derfor ikke komme med høringssvar til denne opgørelse. </t>
  </si>
  <si>
    <t>Fane 4.1</t>
  </si>
  <si>
    <t>Fane 4.2</t>
  </si>
  <si>
    <t>Fane 6</t>
  </si>
  <si>
    <t>Fane 10.1</t>
  </si>
  <si>
    <t>Fane 10.2</t>
  </si>
  <si>
    <t>Fane 11</t>
  </si>
  <si>
    <t>Fane 4.1: Generelt effektiviseringskrav til driftsomkostningerne</t>
  </si>
  <si>
    <t>Fane 4.2: Generelt effektiviseringskrav til anlægsomkostningerne</t>
  </si>
  <si>
    <t>Fane 6: Ikke-påvirkelige omkostninger</t>
  </si>
  <si>
    <t>Fane 13: Bortfald eller nedsættelse af omkostninger til mål, medfinansiering eller udvidelse</t>
  </si>
  <si>
    <t>Fane 10.2: Engangstillæg</t>
  </si>
  <si>
    <t>Fane 10.1: Varige tillæg</t>
  </si>
  <si>
    <t>Fane 11: Periodevise driftsomkostninger givet under prisloftsbekendtgørelsen</t>
  </si>
  <si>
    <t>Prisudvikling til brug for ØR2017</t>
  </si>
  <si>
    <t>Prisudvikling til brug for ØR2018-2019</t>
  </si>
  <si>
    <t>Prisudvikling til brug for ØR2020-2021</t>
  </si>
  <si>
    <t>Generelt effektiviseringskrav til brug for anlægsomkostninger i ØR2017</t>
  </si>
  <si>
    <t>Generelt effektiviseringskrav til brug for anlægsomkostninger i ØR2018-2019</t>
  </si>
  <si>
    <t>Generelt effektiviseringskrav til brug for nye anlægsomkostninger i ØR2019</t>
  </si>
  <si>
    <t>Generelt effektiviseringskrav til brug for anlægsomkostninger i ØR2020-2021</t>
  </si>
  <si>
    <t>Generelt effektiviseringskrav til brug for driftsomkostninger</t>
  </si>
  <si>
    <t>Tillæg til medfinansieringsprojekter godkendt under prisloftsbekendtgørelsen</t>
  </si>
  <si>
    <t>Periodevise driftsomkostninger i den økonomiske ramme for 2018</t>
  </si>
  <si>
    <t>Fane 3</t>
  </si>
  <si>
    <t>Periodevise driftsomkostninger i den økonomiske ramme for 2017</t>
  </si>
  <si>
    <t>Korrektion af driftsomkostninger i grundlaget</t>
  </si>
  <si>
    <t>Korrektion af anlægsomkostninger i grundlaget</t>
  </si>
  <si>
    <t>Korrektion af den økonomiske ramme for 2019</t>
  </si>
  <si>
    <t>Fane 2.1: Samlet økonomisk ramme for 2021</t>
  </si>
  <si>
    <t>Tidligere tilknyttet virksomhed - Drift</t>
  </si>
  <si>
    <t>Tidligere tilknyttet virksomhed - Anlæg</t>
  </si>
  <si>
    <t>Fane 2.2: Samlet økonomisk ramme for 2022</t>
  </si>
  <si>
    <t>Fane 2.3: Samlet økonomisk ramme for 2023</t>
  </si>
  <si>
    <t>Videreførte omkostninger fra den økonomiske ramme for 2022</t>
  </si>
  <si>
    <t>Fane 2.4: Samlet økonomisk ramme for 2024</t>
  </si>
  <si>
    <t>Videreførte omkostninger fra den økonomiske ramme for 2023</t>
  </si>
  <si>
    <t>Økonomisk ramme for 2024</t>
  </si>
  <si>
    <t>Fane 3: Videreførte omkostninger fra den økonomiske ramme for 2020</t>
  </si>
  <si>
    <t>Oversigt over den økonomiske ramme for 2020</t>
  </si>
  <si>
    <t>Faktiske ikke-påvirkelige omkostninger i 2019</t>
  </si>
  <si>
    <t>Faktiske omkostninger i 2019</t>
  </si>
  <si>
    <t>Ikke-påvirkelige omkostninger i 2019-prisniveau</t>
  </si>
  <si>
    <t>Ikke-påvirkelige omkostninger i 2021-prisniveau</t>
  </si>
  <si>
    <t>Tillæg til den økonomiske ramme for 2024</t>
  </si>
  <si>
    <t>Fane 8: Korrektioner af den økonomiske ramme for 2019</t>
  </si>
  <si>
    <t>Korrektion af periodevise driftsomkostninger i de økonomiske rammer for 2019</t>
  </si>
  <si>
    <t>Faktisk periodevis driftsomkostning i 2019</t>
  </si>
  <si>
    <t>Tidligere godkendt tillæg indregnet i den økonomiske ramme for 2019</t>
  </si>
  <si>
    <t>Faktisk omkostning til medfinansiering af klimatilpasningsprojekter i 2019</t>
  </si>
  <si>
    <t>Korrektioner af den økonomiske ramme for 2019 i alt</t>
  </si>
  <si>
    <t>Periodevise driftsomkostninger i alt i 2019-prisniveau</t>
  </si>
  <si>
    <t>Periodevise driftsomkostninger til de økonomiske rammer for 2024</t>
  </si>
  <si>
    <t>Periodevise driftsomkostninger i alt i 2024-prisniveau</t>
  </si>
  <si>
    <t>Fane 12: Tilknyttet virksomhed under hovedvirksomheden</t>
  </si>
  <si>
    <t>Tilknyttet virksomhed under hovedvirksomheden</t>
  </si>
  <si>
    <t>Beskrivelse af tilknyttet virksomhed</t>
  </si>
  <si>
    <t>Tilknyttet virksomhed under hovedvirksomheden i alt (2019-prisniveau)</t>
  </si>
  <si>
    <t>Vejledende økonomisk ramme for 2024</t>
  </si>
  <si>
    <t>Omkostninger i ØR2020</t>
  </si>
  <si>
    <t>Tilknyttet virksomhed</t>
  </si>
  <si>
    <t>Prisudvikling til brug for nye omkostninger i ØR2021</t>
  </si>
  <si>
    <t xml:space="preserve">Note: Denne opgørelse er taget fra jeres statusmeddelelse for den økonomiske ramme for 2020. I kan derfor ikke komme med høringssvar til denne opgørelse. </t>
  </si>
  <si>
    <t>Nye tillæg i alt i 2020-prisniveau</t>
  </si>
  <si>
    <t>Engangstillæg i alt i 2019-prisniveau</t>
  </si>
  <si>
    <t>Engangstillæg i alt i 2022-prisniveau</t>
  </si>
  <si>
    <t>Engangstillæg i alt i 2023-prisniveau</t>
  </si>
  <si>
    <t>Engangstillæg til de økonomiske rammer for 2024</t>
  </si>
  <si>
    <t>Engangstillæg i alt i 2024-prisniveau</t>
  </si>
  <si>
    <t>Tilknyttet virksomhed under hovedvirksomheden i alt (2020-prisniveau)</t>
  </si>
  <si>
    <t>Til statusmeddelelse for 2021</t>
  </si>
  <si>
    <t>Bortfald eller nedsættelse fra og med de økonomiske rammer for 2024</t>
  </si>
  <si>
    <t>Bortfald eller nedsættelse i alt i 2023-prisniveau</t>
  </si>
  <si>
    <t>Generelt effektiviseringskrav til brug for anlægsomkostninger i ØR2021-2022</t>
  </si>
  <si>
    <t>Nye driftsomkostninger til de økonomiske rammer for 2021</t>
  </si>
  <si>
    <t>Generelt effektiviseringskrav til driftsomkostninger i de vejledende økonomiske rammer for 2024</t>
  </si>
  <si>
    <t>Base for driftsomkostninger til de vejledende økonomiske rammer for 2024</t>
  </si>
  <si>
    <t>Bortfald af driftsomkostninger i de økonomiske rammer for 2024</t>
  </si>
  <si>
    <t>Vejledende generelt effektiviseringskrav til driftsomkostningerne i ØR24</t>
  </si>
  <si>
    <t>Nye anlægsomkostninger til de økonomiske rammer for 2021</t>
  </si>
  <si>
    <t>Fane 9: Anlægsprojekter igangsat senest den 1. marts 2016</t>
  </si>
  <si>
    <t>Anlægsprojekter igangsat senest den 1. marts 2016</t>
  </si>
  <si>
    <t>Anlægsprojekter igangsat senest den 1. marts 2016 i alt</t>
  </si>
  <si>
    <t>Anlægsprojekter igangsat senest 1. marts 2016</t>
  </si>
  <si>
    <t>Generelt effektiviseringskrav til anlægsomkostninger i de vejledende økonomiske rammer for 2024</t>
  </si>
  <si>
    <t>Base for anlægsomkostninger til de vejledende økonomiske rammer for 2024</t>
  </si>
  <si>
    <t>Bortfald af anlægsomkostninger i de økonomiske rammer for 2024</t>
  </si>
  <si>
    <t>Vejledende generelt effektiviseringskrav til anlægsomkostningerne i ØR24</t>
  </si>
  <si>
    <t>Fradrag for kontrol af den økonomiske ramme</t>
  </si>
  <si>
    <t>Kontrol med overholdelse af den økonomiske ramme for 2019</t>
  </si>
  <si>
    <t>Indtægtsramme i den økonomiske ramme for 2019</t>
  </si>
  <si>
    <t>Faktiske indtægter i 2019</t>
  </si>
  <si>
    <t>Difference (2019-prisniveau)</t>
  </si>
  <si>
    <t>Til indregning i de økonomiske rammer for 2022-2023</t>
  </si>
  <si>
    <t>Til indregning i den økonomiske ramme for 2021</t>
  </si>
  <si>
    <t>Tillæg/fradrag i den økonomiske ramme for 2021</t>
  </si>
  <si>
    <t>Kontrol med overholdelse af økonomiske rammer</t>
  </si>
  <si>
    <t>Kontrol med de økonomiske rammer til indregning</t>
  </si>
  <si>
    <t>Vejledendeøkonomisk ramme for 2022</t>
  </si>
  <si>
    <t>Kontrol af den økonomiske ramme for 2019</t>
  </si>
  <si>
    <t>Fane 7: Kontrol med overholdelse af den økonomiske ramme for 2019</t>
  </si>
  <si>
    <t>Fane 14: Nøgletal</t>
  </si>
  <si>
    <t xml:space="preserve">Note: Beregningerne af jeres individuelle effektiviseringskrav er taget fra jeres afgørelse til den økonomiske ramme for henholdsvis 2017, 2018-2019 og 2020-21. I kan derfor ikke komme med høringssvar til denne opgørelse. </t>
  </si>
  <si>
    <t>Historisk over- eller underdækning</t>
  </si>
  <si>
    <t>Tillæg/fradrag for historisk over- eller underdækning</t>
  </si>
  <si>
    <t>Kontrol med overholdelse af indtægtsrammer</t>
  </si>
  <si>
    <t>Fradrag for kontrol af den økonomiske ramme for 2018</t>
  </si>
  <si>
    <t>Korrektion af den økonomiske ramme for 2018</t>
  </si>
  <si>
    <t>Tillæg/fradrag for korrektion af den økonomiske ramme for 2018</t>
  </si>
  <si>
    <t>Spildevandsafgift</t>
  </si>
  <si>
    <t>Afgift til Forsyningssekretariatet</t>
  </si>
  <si>
    <t>Køb af ydelser og produkter fra andre vandselskaber reguleret af vandsektorloven</t>
  </si>
  <si>
    <t>Ejendomsskatter</t>
  </si>
  <si>
    <t>Erstatninger</t>
  </si>
  <si>
    <t>Ingen tilknyttet virksomhed</t>
  </si>
  <si>
    <t>Ingen bortfald eller nedsættelse</t>
  </si>
  <si>
    <t>Brønde</t>
  </si>
  <si>
    <t>75</t>
  </si>
  <si>
    <t>Ledningsnet ≤ Ø 200 mm</t>
  </si>
  <si>
    <t>Ø 200 mm &lt; Ledningsnet ≤ Ø 500 mm</t>
  </si>
  <si>
    <t>Ø 800 mm &lt; Ledningsnet ≤ Ø 1000 mm</t>
  </si>
  <si>
    <t>Indløb-/udløbsarrangement</t>
  </si>
  <si>
    <t>Jordbassin Klasse A</t>
  </si>
  <si>
    <t>50</t>
  </si>
  <si>
    <t>Indløb med riste, Konstruktioner</t>
  </si>
  <si>
    <t>60</t>
  </si>
  <si>
    <t>Beluftningstanke, Mek/EL</t>
  </si>
  <si>
    <t>20</t>
  </si>
  <si>
    <t>Indløb med riste, Mek/EL</t>
  </si>
  <si>
    <t>Beluftningstanke, SRO</t>
  </si>
  <si>
    <t>10</t>
  </si>
  <si>
    <t>Indløb med riste, SRO</t>
  </si>
  <si>
    <t>Ø 1000 mm &lt; Ledningsnet ≤ Ø 1200 mm</t>
  </si>
  <si>
    <t>Ø 500 mm &lt; Ledningsnet ≤ Ø 800 mm</t>
  </si>
  <si>
    <t>Pumpestationer i brønde (&lt; 6,25 m2), Konstruktioner</t>
  </si>
  <si>
    <t>Pumpestationer i brønde (&lt; 6,25 m2), Mek/EL</t>
  </si>
  <si>
    <t>Pumpestationer i brønde (&lt; 6,25 m2), SRO</t>
  </si>
  <si>
    <t>Ø 1200 mm &lt; Ledningsnet ≤ Ø 1600 mm</t>
  </si>
  <si>
    <t>Administrationbygninger</t>
  </si>
  <si>
    <t>Rådnetanke, slam, Mek/EL</t>
  </si>
  <si>
    <t>Sand- og fedtfang, Mek/EL</t>
  </si>
  <si>
    <t>Rådnetanke, slam, SRO</t>
  </si>
  <si>
    <t>Sand- og fedtfang, SRO</t>
  </si>
  <si>
    <t>Strømpeforing Ø 800 mm &lt; Ledningsnet ≤ Ø 1000 mm</t>
  </si>
  <si>
    <t>Strømpeforing Ø 1200 mm &lt; Ledningsnet ≤ Ø 1600 mm</t>
  </si>
  <si>
    <t>Separatkloakeringer</t>
  </si>
  <si>
    <t>Byggemodninger og ny-kloakeringer</t>
  </si>
  <si>
    <t>Oprensning af regnsvandsbassiner</t>
  </si>
  <si>
    <t>Oprensning af regnvandsbassiner</t>
  </si>
  <si>
    <t>Ingen engangstillæg</t>
  </si>
  <si>
    <t>Garantiprovision (anlægsprojekter igangsat senest den 1. marts 2016)</t>
  </si>
  <si>
    <t>Yderligere opkrævningsret efter § 17, stk. 10 - 2017</t>
  </si>
  <si>
    <t>Yderligere opkrævningsret efter § 17, stk. 10 - 2018</t>
  </si>
  <si>
    <t>Periodevise driftsomkostninger i alt i 2018-prisniveau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</si>
</sst>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 * #,##0.00_ ;_ * \-#,##0.00_ ;_ * &quot;-&quot;??_ ;_ @_ "/>
    <numFmt numFmtId="165" formatCode="_ * #,##0_ ;_ * \-#,##0_ ;_ * &quot;-&quot;??_ ;_ @_ "/>
  </numFmts>
  <fonts count="16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b/>
      <sz val="11"/>
      <color theme="1"/>
      <name val="Calibri"/>
      <family val="2"/>
      <scheme val="minor"/>
    </font>
    <font>
      <sz val="1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121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164" fontId="10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3" fillId="0" borderId="0"/>
    <xf numFmtId="9" fontId="10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8" borderId="1" xfId="0" applyNumberFormat="1" applyFont="1" applyFill="1" applyBorder="1" applyAlignment="1" applyProtection="1">
      <alignment wrapText="1"/>
    </xf>
    <xf numFmtId="0" fontId="8" fillId="8" borderId="1" xfId="0" applyFont="1" applyFill="1" applyBorder="1" applyAlignment="1" applyProtection="1">
      <alignment wrapText="1"/>
    </xf>
    <xf numFmtId="3" fontId="8" fillId="8" borderId="1" xfId="0" applyNumberFormat="1" applyFont="1" applyFill="1" applyBorder="1" applyProtection="1"/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8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0" fontId="8" fillId="4" borderId="1" xfId="0" applyFont="1" applyFill="1" applyBorder="1" applyProtection="1"/>
    <xf numFmtId="0" fontId="0" fillId="2" borderId="0" xfId="0" applyFill="1" applyAlignment="1" applyProtection="1">
      <alignment wrapText="1"/>
    </xf>
    <xf numFmtId="0" fontId="8" fillId="4" borderId="1" xfId="0" applyFont="1" applyFill="1" applyBorder="1" applyAlignment="1" applyProtection="1">
      <alignment horizontal="center" wrapText="1"/>
    </xf>
    <xf numFmtId="0" fontId="7" fillId="3" borderId="3" xfId="0" applyFont="1" applyFill="1" applyBorder="1" applyAlignment="1" applyProtection="1"/>
    <xf numFmtId="0" fontId="7" fillId="3" borderId="2" xfId="0" applyFont="1" applyFill="1" applyBorder="1" applyAlignment="1" applyProtection="1">
      <alignment wrapText="1"/>
    </xf>
    <xf numFmtId="3" fontId="8" fillId="8" borderId="1" xfId="0" applyNumberFormat="1" applyFont="1" applyFill="1" applyBorder="1" applyAlignment="1" applyProtection="1"/>
    <xf numFmtId="10" fontId="8" fillId="8" borderId="1" xfId="4" applyNumberFormat="1" applyFont="1" applyFill="1" applyBorder="1" applyProtection="1"/>
    <xf numFmtId="165" fontId="8" fillId="8" borderId="1" xfId="1" applyNumberFormat="1" applyFont="1" applyFill="1" applyBorder="1" applyProtection="1"/>
    <xf numFmtId="49" fontId="8" fillId="8" borderId="2" xfId="0" applyNumberFormat="1" applyFont="1" applyFill="1" applyBorder="1" applyAlignment="1" applyProtection="1"/>
    <xf numFmtId="10" fontId="8" fillId="8" borderId="1" xfId="4" applyNumberFormat="1" applyFont="1" applyFill="1" applyBorder="1" applyAlignment="1" applyProtection="1"/>
    <xf numFmtId="0" fontId="15" fillId="0" borderId="2" xfId="0" applyFont="1" applyFill="1" applyBorder="1" applyAlignment="1" applyProtection="1"/>
    <xf numFmtId="3" fontId="15" fillId="0" borderId="1" xfId="0" applyNumberFormat="1" applyFont="1" applyFill="1" applyBorder="1" applyProtection="1"/>
    <xf numFmtId="0" fontId="15" fillId="0" borderId="1" xfId="0" applyFont="1" applyFill="1" applyBorder="1" applyProtection="1"/>
    <xf numFmtId="0" fontId="8" fillId="8" borderId="2" xfId="0" quotePrefix="1" applyFont="1" applyFill="1" applyBorder="1" applyAlignment="1" applyProtection="1">
      <alignment wrapText="1"/>
    </xf>
    <xf numFmtId="0" fontId="8" fillId="4" borderId="2" xfId="0" applyFont="1" applyFill="1" applyBorder="1" applyAlignment="1" applyProtection="1"/>
    <xf numFmtId="0" fontId="7" fillId="3" borderId="6" xfId="0" applyFont="1" applyFill="1" applyBorder="1" applyAlignment="1" applyProtection="1"/>
    <xf numFmtId="0" fontId="8" fillId="8" borderId="2" xfId="0" applyFont="1" applyFill="1" applyBorder="1" applyAlignment="1" applyProtection="1">
      <alignment wrapText="1"/>
    </xf>
    <xf numFmtId="3" fontId="7" fillId="3" borderId="2" xfId="0" applyNumberFormat="1" applyFont="1" applyFill="1" applyBorder="1" applyAlignment="1" applyProtection="1"/>
    <xf numFmtId="0" fontId="7" fillId="3" borderId="1" xfId="0" applyFont="1" applyFill="1" applyBorder="1" applyAlignment="1" applyProtection="1"/>
    <xf numFmtId="0" fontId="8" fillId="4" borderId="2" xfId="0" applyFont="1" applyFill="1" applyBorder="1" applyAlignment="1" applyProtection="1">
      <alignment wrapText="1"/>
    </xf>
    <xf numFmtId="0" fontId="8" fillId="4" borderId="3" xfId="0" applyFont="1" applyFill="1" applyBorder="1" applyAlignment="1" applyProtection="1">
      <alignment wrapText="1"/>
    </xf>
    <xf numFmtId="0" fontId="7" fillId="3" borderId="2" xfId="0" applyFont="1" applyFill="1" applyBorder="1" applyAlignment="1" applyProtection="1"/>
    <xf numFmtId="0" fontId="8" fillId="8" borderId="1" xfId="0" applyFont="1" applyFill="1" applyBorder="1" applyAlignment="1" applyProtection="1"/>
    <xf numFmtId="10" fontId="8" fillId="0" borderId="3" xfId="4" applyNumberFormat="1" applyFont="1" applyFill="1" applyBorder="1" applyAlignment="1" applyProtection="1"/>
    <xf numFmtId="10" fontId="8" fillId="0" borderId="1" xfId="4" applyNumberFormat="1" applyFont="1" applyFill="1" applyBorder="1" applyProtection="1"/>
    <xf numFmtId="0" fontId="0" fillId="0" borderId="0" xfId="0" applyFill="1" applyProtection="1"/>
    <xf numFmtId="0" fontId="2" fillId="2" borderId="0" xfId="0" applyFont="1" applyFill="1" applyAlignment="1" applyProtection="1">
      <alignment vertical="center" wrapText="1"/>
    </xf>
    <xf numFmtId="0" fontId="8" fillId="4" borderId="6" xfId="0" applyFont="1" applyFill="1" applyBorder="1" applyAlignment="1" applyProtection="1"/>
    <xf numFmtId="0" fontId="8" fillId="4" borderId="3" xfId="0" applyFont="1" applyFill="1" applyBorder="1" applyAlignment="1" applyProtection="1"/>
    <xf numFmtId="3" fontId="8" fillId="4" borderId="2" xfId="0" applyNumberFormat="1" applyFont="1" applyFill="1" applyBorder="1" applyProtection="1"/>
    <xf numFmtId="0" fontId="14" fillId="2" borderId="0" xfId="0" applyFont="1" applyFill="1" applyAlignment="1" applyProtection="1">
      <alignment horizontal="center"/>
    </xf>
    <xf numFmtId="0" fontId="8" fillId="8" borderId="2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4" borderId="3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1" fontId="8" fillId="0" borderId="1" xfId="0" applyNumberFormat="1" applyFont="1" applyFill="1" applyBorder="1" applyAlignment="1" applyProtection="1">
      <alignment horizontal="right"/>
    </xf>
    <xf numFmtId="49" fontId="8" fillId="8" borderId="2" xfId="0" applyNumberFormat="1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wrapText="1"/>
    </xf>
    <xf numFmtId="0" fontId="1" fillId="7" borderId="4" xfId="2" applyFont="1" applyFill="1" applyBorder="1" applyAlignment="1" applyProtection="1">
      <alignment horizontal="center"/>
    </xf>
    <xf numFmtId="0" fontId="1" fillId="7" borderId="0" xfId="2" applyFont="1" applyFill="1" applyBorder="1" applyAlignment="1" applyProtection="1">
      <alignment horizontal="center"/>
    </xf>
    <xf numFmtId="0" fontId="1" fillId="7" borderId="5" xfId="2" applyFont="1" applyFill="1" applyBorder="1" applyAlignment="1" applyProtection="1">
      <alignment horizontal="center"/>
    </xf>
    <xf numFmtId="0" fontId="1" fillId="9" borderId="4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5" xfId="2" applyFont="1" applyFill="1" applyBorder="1" applyAlignment="1" applyProtection="1">
      <alignment horizontal="center"/>
    </xf>
    <xf numFmtId="0" fontId="1" fillId="5" borderId="4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5" xfId="2" applyFont="1" applyFill="1" applyBorder="1" applyAlignment="1" applyProtection="1">
      <alignment horizontal="center"/>
    </xf>
    <xf numFmtId="0" fontId="1" fillId="3" borderId="4" xfId="2" applyFont="1" applyFill="1" applyBorder="1" applyAlignment="1" applyProtection="1">
      <alignment horizontal="center"/>
    </xf>
    <xf numFmtId="0" fontId="1" fillId="3" borderId="0" xfId="2" applyFont="1" applyFill="1" applyBorder="1" applyAlignment="1" applyProtection="1">
      <alignment horizontal="center"/>
    </xf>
    <xf numFmtId="0" fontId="1" fillId="3" borderId="5" xfId="2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2" fillId="6" borderId="4" xfId="2" applyFont="1" applyFill="1" applyBorder="1" applyAlignment="1" applyProtection="1">
      <alignment horizontal="center"/>
    </xf>
    <xf numFmtId="0" fontId="12" fillId="6" borderId="0" xfId="2" applyFont="1" applyFill="1" applyBorder="1" applyAlignment="1" applyProtection="1">
      <alignment horizontal="center"/>
    </xf>
    <xf numFmtId="0" fontId="12" fillId="6" borderId="5" xfId="2" applyFont="1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14" fillId="2" borderId="0" xfId="0" applyFont="1" applyFill="1" applyAlignment="1" applyProtection="1">
      <alignment horizontal="center"/>
    </xf>
    <xf numFmtId="0" fontId="8" fillId="8" borderId="2" xfId="0" applyFont="1" applyFill="1" applyBorder="1" applyAlignment="1" applyProtection="1">
      <alignment horizontal="left" wrapText="1"/>
    </xf>
    <xf numFmtId="0" fontId="8" fillId="8" borderId="6" xfId="0" applyFont="1" applyFill="1" applyBorder="1" applyAlignment="1" applyProtection="1">
      <alignment horizontal="left" wrapText="1"/>
    </xf>
    <xf numFmtId="0" fontId="8" fillId="8" borderId="3" xfId="0" applyFont="1" applyFill="1" applyBorder="1" applyAlignment="1" applyProtection="1">
      <alignment horizontal="left" wrapText="1"/>
    </xf>
    <xf numFmtId="0" fontId="8" fillId="8" borderId="2" xfId="0" quotePrefix="1" applyFont="1" applyFill="1" applyBorder="1" applyAlignment="1" applyProtection="1">
      <alignment horizontal="left" wrapText="1"/>
    </xf>
    <xf numFmtId="0" fontId="8" fillId="8" borderId="6" xfId="0" quotePrefix="1" applyFont="1" applyFill="1" applyBorder="1" applyAlignment="1" applyProtection="1">
      <alignment horizontal="left" wrapText="1"/>
    </xf>
    <xf numFmtId="0" fontId="8" fillId="4" borderId="2" xfId="0" applyFont="1" applyFill="1" applyBorder="1" applyAlignment="1" applyProtection="1">
      <alignment horizontal="left"/>
    </xf>
    <xf numFmtId="0" fontId="8" fillId="4" borderId="6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6" xfId="0" applyFont="1" applyFill="1" applyBorder="1" applyAlignment="1" applyProtection="1">
      <alignment horizontal="left" wrapText="1"/>
    </xf>
    <xf numFmtId="0" fontId="2" fillId="2" borderId="0" xfId="0" applyFont="1" applyFill="1" applyAlignment="1" applyProtection="1">
      <alignment horizontal="center" vertical="center" wrapText="1"/>
    </xf>
    <xf numFmtId="0" fontId="8" fillId="8" borderId="3" xfId="0" quotePrefix="1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7" fillId="3" borderId="2" xfId="0" applyFont="1" applyFill="1" applyBorder="1" applyAlignment="1" applyProtection="1">
      <alignment horizontal="left"/>
    </xf>
    <xf numFmtId="0" fontId="7" fillId="3" borderId="6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>
      <alignment horizontal="left"/>
    </xf>
    <xf numFmtId="0" fontId="8" fillId="8" borderId="6" xfId="0" applyFont="1" applyFill="1" applyBorder="1" applyAlignment="1" applyProtection="1">
      <alignment horizontal="left"/>
    </xf>
    <xf numFmtId="0" fontId="8" fillId="8" borderId="3" xfId="0" applyFont="1" applyFill="1" applyBorder="1" applyAlignment="1" applyProtection="1">
      <alignment horizontal="left"/>
    </xf>
    <xf numFmtId="0" fontId="8" fillId="8" borderId="2" xfId="0" applyFont="1" applyFill="1" applyBorder="1" applyAlignment="1" applyProtection="1"/>
    <xf numFmtId="0" fontId="8" fillId="8" borderId="6" xfId="0" applyFont="1" applyFill="1" applyBorder="1" applyAlignment="1" applyProtection="1"/>
    <xf numFmtId="0" fontId="8" fillId="8" borderId="3" xfId="0" applyFont="1" applyFill="1" applyBorder="1" applyAlignment="1" applyProtection="1"/>
    <xf numFmtId="0" fontId="2" fillId="2" borderId="0" xfId="0" applyFont="1" applyFill="1" applyAlignment="1" applyProtection="1">
      <alignment horizontal="center" wrapText="1"/>
    </xf>
    <xf numFmtId="0" fontId="2" fillId="2" borderId="7" xfId="0" applyFont="1" applyFill="1" applyBorder="1" applyAlignment="1" applyProtection="1">
      <alignment horizontal="center" wrapText="1"/>
    </xf>
    <xf numFmtId="0" fontId="0" fillId="2" borderId="0" xfId="0" applyFill="1" applyAlignment="1" applyProtection="1">
      <alignment horizontal="center" wrapText="1"/>
    </xf>
    <xf numFmtId="0" fontId="8" fillId="4" borderId="3" xfId="0" applyFont="1" applyFill="1" applyBorder="1" applyAlignment="1" applyProtection="1">
      <alignment horizontal="left"/>
    </xf>
    <xf numFmtId="0" fontId="8" fillId="8" borderId="2" xfId="0" quotePrefix="1" applyFont="1" applyFill="1" applyBorder="1" applyAlignment="1" applyProtection="1">
      <alignment horizontal="left"/>
    </xf>
    <xf numFmtId="0" fontId="8" fillId="8" borderId="6" xfId="0" quotePrefix="1" applyFont="1" applyFill="1" applyBorder="1" applyAlignment="1" applyProtection="1">
      <alignment horizontal="left"/>
    </xf>
    <xf numFmtId="0" fontId="8" fillId="8" borderId="3" xfId="0" quotePrefix="1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center"/>
    </xf>
    <xf numFmtId="0" fontId="7" fillId="3" borderId="6" xfId="0" applyFont="1" applyFill="1" applyBorder="1" applyAlignment="1" applyProtection="1">
      <alignment horizontal="center"/>
    </xf>
    <xf numFmtId="0" fontId="7" fillId="3" borderId="3" xfId="0" applyFont="1" applyFill="1" applyBorder="1" applyAlignment="1" applyProtection="1">
      <alignment horizontal="center"/>
    </xf>
    <xf numFmtId="0" fontId="8" fillId="4" borderId="1" xfId="0" applyFont="1" applyFill="1" applyBorder="1" applyAlignment="1" applyProtection="1">
      <alignment horizontal="left"/>
    </xf>
    <xf numFmtId="49" fontId="8" fillId="8" borderId="2" xfId="0" applyNumberFormat="1" applyFont="1" applyFill="1" applyBorder="1" applyAlignment="1" applyProtection="1">
      <alignment horizontal="left" wrapText="1"/>
    </xf>
    <xf numFmtId="49" fontId="8" fillId="8" borderId="6" xfId="0" applyNumberFormat="1" applyFont="1" applyFill="1" applyBorder="1" applyAlignment="1" applyProtection="1">
      <alignment horizontal="left" wrapText="1"/>
    </xf>
    <xf numFmtId="49" fontId="8" fillId="8" borderId="3" xfId="0" applyNumberFormat="1" applyFont="1" applyFill="1" applyBorder="1" applyAlignment="1" applyProtection="1">
      <alignment horizontal="left" wrapText="1"/>
    </xf>
  </cellXfs>
  <cellStyles count="5">
    <cellStyle name="Komma" xfId="1" builtinId="3"/>
    <cellStyle name="Link" xfId="2" builtinId="8"/>
    <cellStyle name="Normal" xfId="0" builtinId="0"/>
    <cellStyle name="Normal 12" xfId="3"/>
    <cellStyle name="Procent" xfId="4" builtinId="5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50"/>
  <sheetViews>
    <sheetView showGridLines="0" tabSelected="1" view="pageLayout" zoomScaleNormal="100" workbookViewId="0"/>
  </sheetViews>
  <sheetFormatPr defaultColWidth="9.140625" defaultRowHeight="15" x14ac:dyDescent="0.25"/>
  <cols>
    <col min="1" max="1" width="9.140625" style="2"/>
    <col min="2" max="2" width="5.85546875" style="2" customWidth="1"/>
    <col min="3" max="4" width="9.140625" style="2"/>
    <col min="5" max="5" width="11.7109375" style="2" customWidth="1"/>
    <col min="6" max="6" width="11.5703125" style="2" customWidth="1"/>
    <col min="7" max="8" width="9.140625" style="2"/>
    <col min="9" max="9" width="12.14062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ht="15" customHeight="1" x14ac:dyDescent="0.25">
      <c r="A6" s="1"/>
      <c r="B6" s="1"/>
      <c r="C6" s="3"/>
      <c r="D6" s="72" t="s">
        <v>4</v>
      </c>
      <c r="E6" s="72"/>
      <c r="F6" s="72"/>
      <c r="G6" s="72"/>
      <c r="H6" s="3"/>
      <c r="I6" s="1"/>
    </row>
    <row r="7" spans="1:9" ht="15" customHeight="1" x14ac:dyDescent="0.25">
      <c r="A7" s="1"/>
      <c r="B7" s="1"/>
      <c r="C7" s="3"/>
      <c r="D7" s="72"/>
      <c r="E7" s="72"/>
      <c r="F7" s="72"/>
      <c r="G7" s="72"/>
      <c r="H7" s="3"/>
      <c r="I7" s="1"/>
    </row>
    <row r="8" spans="1:9" ht="15.75" x14ac:dyDescent="0.25">
      <c r="A8" s="1"/>
      <c r="B8" s="1"/>
      <c r="C8" s="4"/>
      <c r="D8" s="77" t="s">
        <v>226</v>
      </c>
      <c r="E8" s="77"/>
      <c r="F8" s="77"/>
      <c r="G8" s="77"/>
      <c r="H8" s="4"/>
      <c r="I8" s="1"/>
    </row>
    <row r="9" spans="1:9" x14ac:dyDescent="0.25">
      <c r="A9" s="1"/>
      <c r="B9" s="1"/>
      <c r="C9" s="5"/>
      <c r="D9" s="5"/>
      <c r="E9" s="5"/>
      <c r="F9" s="5"/>
      <c r="G9" s="5"/>
      <c r="H9" s="5"/>
      <c r="I9" s="1"/>
    </row>
    <row r="10" spans="1:9" x14ac:dyDescent="0.25">
      <c r="A10" s="1"/>
      <c r="B10" s="5"/>
      <c r="C10" s="5"/>
      <c r="D10" s="5"/>
      <c r="E10" s="5"/>
      <c r="F10" s="5"/>
      <c r="G10" s="5"/>
      <c r="H10" s="5"/>
      <c r="I10" s="1"/>
    </row>
    <row r="11" spans="1:9" x14ac:dyDescent="0.25">
      <c r="A11" s="1"/>
      <c r="B11" s="5"/>
      <c r="C11" s="5"/>
      <c r="D11" s="76" t="s">
        <v>5</v>
      </c>
      <c r="E11" s="76"/>
      <c r="F11" s="76"/>
      <c r="G11" s="76"/>
      <c r="H11" s="5"/>
      <c r="I11" s="1"/>
    </row>
    <row r="12" spans="1:9" x14ac:dyDescent="0.25">
      <c r="A12" s="1"/>
      <c r="B12" s="1"/>
      <c r="C12" s="1"/>
      <c r="D12" s="1"/>
      <c r="E12" s="1"/>
      <c r="F12" s="1"/>
      <c r="G12" s="1"/>
      <c r="H12" s="1"/>
      <c r="I12" s="1"/>
    </row>
    <row r="13" spans="1:9" x14ac:dyDescent="0.25">
      <c r="A13" s="1"/>
      <c r="B13" s="1"/>
      <c r="C13" s="6" t="s">
        <v>6</v>
      </c>
      <c r="D13" s="69" t="s">
        <v>43</v>
      </c>
      <c r="E13" s="70"/>
      <c r="F13" s="70"/>
      <c r="G13" s="71"/>
      <c r="H13" s="1"/>
      <c r="I13" s="1"/>
    </row>
    <row r="14" spans="1:9" x14ac:dyDescent="0.25">
      <c r="A14" s="1"/>
      <c r="B14" s="1"/>
      <c r="C14" s="6" t="s">
        <v>17</v>
      </c>
      <c r="D14" s="69" t="s">
        <v>254</v>
      </c>
      <c r="E14" s="70"/>
      <c r="F14" s="70"/>
      <c r="G14" s="71"/>
      <c r="H14" s="1"/>
      <c r="I14" s="1"/>
    </row>
    <row r="15" spans="1:9" x14ac:dyDescent="0.25">
      <c r="A15" s="1"/>
      <c r="B15" s="1"/>
      <c r="C15" s="6" t="s">
        <v>41</v>
      </c>
      <c r="D15" s="69" t="s">
        <v>107</v>
      </c>
      <c r="E15" s="70"/>
      <c r="F15" s="70"/>
      <c r="G15" s="71"/>
      <c r="H15" s="1"/>
      <c r="I15" s="1"/>
    </row>
    <row r="16" spans="1:9" x14ac:dyDescent="0.25">
      <c r="A16" s="1"/>
      <c r="B16" s="1"/>
      <c r="C16" s="6" t="s">
        <v>42</v>
      </c>
      <c r="D16" s="69" t="s">
        <v>214</v>
      </c>
      <c r="E16" s="70"/>
      <c r="F16" s="70"/>
      <c r="G16" s="71"/>
      <c r="H16" s="1"/>
      <c r="I16" s="1"/>
    </row>
    <row r="17" spans="1:9" x14ac:dyDescent="0.25">
      <c r="A17" s="1"/>
      <c r="B17" s="1"/>
      <c r="C17" s="6" t="s">
        <v>180</v>
      </c>
      <c r="D17" s="69" t="s">
        <v>215</v>
      </c>
      <c r="E17" s="70"/>
      <c r="F17" s="70"/>
      <c r="G17" s="71"/>
      <c r="H17" s="1"/>
      <c r="I17" s="1"/>
    </row>
    <row r="18" spans="1:9" x14ac:dyDescent="0.25">
      <c r="A18" s="1"/>
      <c r="B18" s="1"/>
      <c r="C18" s="6" t="s">
        <v>157</v>
      </c>
      <c r="D18" s="66" t="s">
        <v>135</v>
      </c>
      <c r="E18" s="67"/>
      <c r="F18" s="67"/>
      <c r="G18" s="68"/>
      <c r="H18" s="1"/>
      <c r="I18" s="1"/>
    </row>
    <row r="19" spans="1:9" x14ac:dyDescent="0.25">
      <c r="A19" s="1"/>
      <c r="B19" s="1"/>
      <c r="C19" s="6" t="s">
        <v>158</v>
      </c>
      <c r="D19" s="66" t="s">
        <v>136</v>
      </c>
      <c r="E19" s="67"/>
      <c r="F19" s="67"/>
      <c r="G19" s="68"/>
      <c r="H19" s="1"/>
      <c r="I19" s="1"/>
    </row>
    <row r="20" spans="1:9" x14ac:dyDescent="0.25">
      <c r="A20" s="1"/>
      <c r="B20" s="1"/>
      <c r="C20" s="6" t="s">
        <v>7</v>
      </c>
      <c r="D20" s="66" t="s">
        <v>10</v>
      </c>
      <c r="E20" s="67"/>
      <c r="F20" s="67"/>
      <c r="G20" s="68"/>
      <c r="H20" s="1"/>
      <c r="I20" s="1"/>
    </row>
    <row r="21" spans="1:9" x14ac:dyDescent="0.25">
      <c r="A21" s="1"/>
      <c r="B21" s="1"/>
      <c r="C21" s="6" t="s">
        <v>159</v>
      </c>
      <c r="D21" s="73" t="s">
        <v>13</v>
      </c>
      <c r="E21" s="74"/>
      <c r="F21" s="74"/>
      <c r="G21" s="75"/>
      <c r="H21" s="1"/>
      <c r="I21" s="1"/>
    </row>
    <row r="22" spans="1:9" x14ac:dyDescent="0.25">
      <c r="A22" s="1"/>
      <c r="B22" s="1"/>
      <c r="C22" s="6" t="s">
        <v>111</v>
      </c>
      <c r="D22" s="60" t="s">
        <v>255</v>
      </c>
      <c r="E22" s="61"/>
      <c r="F22" s="61"/>
      <c r="G22" s="62"/>
      <c r="H22" s="1"/>
      <c r="I22" s="1"/>
    </row>
    <row r="23" spans="1:9" x14ac:dyDescent="0.25">
      <c r="A23" s="1"/>
      <c r="B23" s="1"/>
      <c r="C23" s="6" t="s">
        <v>8</v>
      </c>
      <c r="D23" s="60" t="s">
        <v>184</v>
      </c>
      <c r="E23" s="61"/>
      <c r="F23" s="61"/>
      <c r="G23" s="62"/>
      <c r="H23" s="1"/>
      <c r="I23" s="1"/>
    </row>
    <row r="24" spans="1:9" x14ac:dyDescent="0.25">
      <c r="A24" s="1"/>
      <c r="B24" s="1"/>
      <c r="C24" s="6" t="s">
        <v>9</v>
      </c>
      <c r="D24" s="60" t="s">
        <v>44</v>
      </c>
      <c r="E24" s="61"/>
      <c r="F24" s="61"/>
      <c r="G24" s="62"/>
      <c r="H24" s="1"/>
      <c r="I24" s="1"/>
    </row>
    <row r="25" spans="1:9" x14ac:dyDescent="0.25">
      <c r="A25" s="1"/>
      <c r="B25" s="1"/>
      <c r="C25" s="6" t="s">
        <v>160</v>
      </c>
      <c r="D25" s="60" t="s">
        <v>112</v>
      </c>
      <c r="E25" s="61"/>
      <c r="F25" s="61"/>
      <c r="G25" s="62"/>
      <c r="H25" s="1"/>
      <c r="I25" s="1"/>
    </row>
    <row r="26" spans="1:9" x14ac:dyDescent="0.25">
      <c r="A26" s="1"/>
      <c r="B26" s="1"/>
      <c r="C26" s="6" t="s">
        <v>161</v>
      </c>
      <c r="D26" s="60" t="s">
        <v>113</v>
      </c>
      <c r="E26" s="61"/>
      <c r="F26" s="61"/>
      <c r="G26" s="62"/>
      <c r="H26" s="1"/>
      <c r="I26" s="1"/>
    </row>
    <row r="27" spans="1:9" x14ac:dyDescent="0.25">
      <c r="A27" s="1"/>
      <c r="B27" s="1"/>
      <c r="C27" s="6" t="s">
        <v>162</v>
      </c>
      <c r="D27" s="60" t="s">
        <v>114</v>
      </c>
      <c r="E27" s="61"/>
      <c r="F27" s="61"/>
      <c r="G27" s="62"/>
      <c r="H27" s="1"/>
      <c r="I27" s="1"/>
    </row>
    <row r="28" spans="1:9" x14ac:dyDescent="0.25">
      <c r="A28" s="1"/>
      <c r="B28" s="1"/>
      <c r="C28" s="6" t="s">
        <v>16</v>
      </c>
      <c r="D28" s="60" t="s">
        <v>216</v>
      </c>
      <c r="E28" s="61"/>
      <c r="F28" s="61"/>
      <c r="G28" s="62"/>
      <c r="H28" s="1"/>
      <c r="I28" s="1"/>
    </row>
    <row r="29" spans="1:9" x14ac:dyDescent="0.25">
      <c r="A29" s="1"/>
      <c r="B29" s="1"/>
      <c r="C29" s="6" t="s">
        <v>46</v>
      </c>
      <c r="D29" s="60" t="s">
        <v>45</v>
      </c>
      <c r="E29" s="61"/>
      <c r="F29" s="61"/>
      <c r="G29" s="62"/>
      <c r="H29" s="1"/>
      <c r="I29" s="1"/>
    </row>
    <row r="30" spans="1:9" x14ac:dyDescent="0.25">
      <c r="A30" s="1"/>
      <c r="B30" s="1"/>
      <c r="C30" s="6" t="s">
        <v>47</v>
      </c>
      <c r="D30" s="63" t="s">
        <v>155</v>
      </c>
      <c r="E30" s="64"/>
      <c r="F30" s="64"/>
      <c r="G30" s="65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</sheetData>
  <sheetProtection algorithmName="SHA-512" hashValue="z73cO1OGQtLdOFQNrHUVhe0xnQqswbrIlsjRjuNiAUeJiWKPEujR0ZCSStO82Pun1KayoqF8jA7Bc0an/99Img==" saltValue="i0yF582rSLMsx1QQR1jGQQ==" spinCount="100000" sheet="1" objects="1" scenarios="1"/>
  <mergeCells count="21">
    <mergeCell ref="D14:G14"/>
    <mergeCell ref="D6:G7"/>
    <mergeCell ref="D21:G21"/>
    <mergeCell ref="D22:G22"/>
    <mergeCell ref="D11:G11"/>
    <mergeCell ref="D8:G8"/>
    <mergeCell ref="D15:G15"/>
    <mergeCell ref="D16:G16"/>
    <mergeCell ref="D19:G19"/>
    <mergeCell ref="D13:G13"/>
    <mergeCell ref="D17:G17"/>
    <mergeCell ref="D20:G20"/>
    <mergeCell ref="D29:G29"/>
    <mergeCell ref="D30:G30"/>
    <mergeCell ref="D18:G18"/>
    <mergeCell ref="D24:G24"/>
    <mergeCell ref="D25:G25"/>
    <mergeCell ref="D28:G28"/>
    <mergeCell ref="D26:G26"/>
    <mergeCell ref="D27:G27"/>
    <mergeCell ref="D23:G23"/>
  </mergeCells>
  <hyperlinks>
    <hyperlink ref="D14:G14" location="'Fane 2.2. Økonomisk ramme 2022'!A1" display="Samlet økonomisk ramme for 2022"/>
    <hyperlink ref="D25:G25" location="'Fane 10.1. Varige tillæg'!A1" display="Varige tillæg"/>
    <hyperlink ref="D28:G28" location="'Fane 12. Tilknyttet virksomhed'!A1" display="Tilknyttet virksomhed"/>
    <hyperlink ref="D29:G29" location="'Fane 13. Bortfald'!A1" display="Bortfald"/>
    <hyperlink ref="D13:G13" location="'Fane 2.1. Økonomisk ramme 2021'!A1" display="Samlet økonomisk ramme for 2021"/>
    <hyperlink ref="D16:G16" location="'Fane 2.4. Økonomisk ramme 2024'!A1" display="Vejledende økonomisk ramme for 2024"/>
    <hyperlink ref="D15:G15" location="'Fane 2.3. Økonomisk ramme 2023'!A1" display="Vejledende økonomisk ramme for 2023"/>
    <hyperlink ref="D22:G22" location="'Fane 7. Kontrol af ØR2020'!A1" display="Kontrol af den økonomiske ramme for 2019"/>
    <hyperlink ref="D24:G24" location="'Fane 9. Anlægsprojekter'!A1" display="Anlægsprojekter"/>
    <hyperlink ref="D30:G30" location="'Fane 14. Nøgletal'!A1" display="Nøgletal"/>
    <hyperlink ref="D17:G17" location="'Fane 3. Omkostninger i ØR2020'!A1" display="Omkostninger i ØR2020"/>
    <hyperlink ref="D26:G26" location="'Fane 10.2. Engangstillæg'!A1" display="Engangstillæg"/>
    <hyperlink ref="D27:G27" location="'Fane 11. Periodevise driftsomk.'!A1" display="Periodevise driftsomkostninger"/>
    <hyperlink ref="D23:G23" location="'Fane 8. Korrektion af ØR2019'!A1" display="Korrektion af den økonomiske ramme for 2019"/>
    <hyperlink ref="D21:G21" location="'Fane 6. Ikke-påvirkelige omk.'!A1" display="Ikke-påvirkelige omkostninger"/>
    <hyperlink ref="D18:G18" location="'Fane 4.1. Gen. krav - drift'!A1" display="Generelt effektiviseringskrav på drift"/>
    <hyperlink ref="D20:G20" location="'Fane 5. Individuelt eff. krav'!A1" display="Individuelt effektiviseringskrav"/>
    <hyperlink ref="D19:G19" location="'Fane 4.2. Gen. krav - anlæg'!A1" display="Generelt effektiviseringskrav på anlæg"/>
  </hyperlinks>
  <pageMargins left="0.71875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F52"/>
  <sheetViews>
    <sheetView showGridLines="0" view="pageLayout" zoomScaleNormal="100" workbookViewId="0"/>
  </sheetViews>
  <sheetFormatPr defaultColWidth="9.140625" defaultRowHeight="15" x14ac:dyDescent="0.25"/>
  <cols>
    <col min="1" max="1" width="8.140625" style="2" customWidth="1"/>
    <col min="2" max="2" width="38" style="2" customWidth="1"/>
    <col min="3" max="3" width="24.85546875" style="2" customWidth="1"/>
    <col min="4" max="4" width="3.28515625" style="2" customWidth="1"/>
    <col min="5" max="5" width="7.85546875" style="2" customWidth="1"/>
    <col min="6" max="6" width="4" style="2" customWidth="1"/>
    <col min="7" max="16384" width="9.140625" style="2"/>
  </cols>
  <sheetData>
    <row r="1" spans="1:6" x14ac:dyDescent="0.25">
      <c r="A1" s="1"/>
      <c r="B1" s="1"/>
      <c r="C1" s="1"/>
      <c r="D1" s="1"/>
      <c r="E1" s="1"/>
      <c r="F1" s="1"/>
    </row>
    <row r="2" spans="1:6" x14ac:dyDescent="0.25">
      <c r="A2" s="1"/>
      <c r="B2" s="1"/>
      <c r="C2" s="1"/>
      <c r="D2" s="1"/>
      <c r="E2" s="1"/>
      <c r="F2" s="1"/>
    </row>
    <row r="3" spans="1:6" ht="15" customHeight="1" x14ac:dyDescent="0.25">
      <c r="A3" s="1"/>
      <c r="B3" s="78" t="s">
        <v>165</v>
      </c>
      <c r="C3" s="78"/>
      <c r="D3" s="78"/>
      <c r="E3" s="1"/>
      <c r="F3" s="1"/>
    </row>
    <row r="4" spans="1:6" ht="15" customHeight="1" x14ac:dyDescent="0.25">
      <c r="A4" s="1"/>
      <c r="B4" s="78"/>
      <c r="C4" s="78"/>
      <c r="D4" s="78"/>
      <c r="E4" s="1"/>
      <c r="F4" s="1"/>
    </row>
    <row r="5" spans="1:6" x14ac:dyDescent="0.25">
      <c r="A5" s="1"/>
      <c r="B5" s="1"/>
      <c r="C5" s="1"/>
      <c r="D5" s="1"/>
      <c r="E5" s="1"/>
      <c r="F5" s="1"/>
    </row>
    <row r="6" spans="1:6" x14ac:dyDescent="0.25">
      <c r="A6" s="1"/>
      <c r="B6" s="1"/>
      <c r="C6" s="1"/>
      <c r="D6" s="1"/>
      <c r="E6" s="1"/>
      <c r="F6" s="1"/>
    </row>
    <row r="7" spans="1:6" x14ac:dyDescent="0.25">
      <c r="A7" s="1"/>
      <c r="B7" s="1"/>
      <c r="C7" s="1"/>
      <c r="D7" s="1"/>
      <c r="E7" s="1"/>
      <c r="F7" s="1"/>
    </row>
    <row r="8" spans="1:6" x14ac:dyDescent="0.25">
      <c r="A8" s="1"/>
      <c r="B8" s="92" t="s">
        <v>196</v>
      </c>
      <c r="C8" s="93"/>
      <c r="D8" s="94"/>
      <c r="E8" s="1"/>
      <c r="F8" s="1"/>
    </row>
    <row r="9" spans="1:6" ht="15" customHeight="1" x14ac:dyDescent="0.25">
      <c r="A9" s="1"/>
      <c r="B9" s="31" t="s">
        <v>39</v>
      </c>
      <c r="C9" s="11" t="s">
        <v>197</v>
      </c>
      <c r="D9" s="11"/>
      <c r="E9" s="1"/>
      <c r="F9" s="1"/>
    </row>
    <row r="10" spans="1:6" ht="15" customHeight="1" x14ac:dyDescent="0.25">
      <c r="A10" s="1"/>
      <c r="B10" s="54" t="s">
        <v>265</v>
      </c>
      <c r="C10" s="9">
        <v>4649967</v>
      </c>
      <c r="D10" s="14" t="s">
        <v>3</v>
      </c>
      <c r="E10" s="1"/>
      <c r="F10" s="1"/>
    </row>
    <row r="11" spans="1:6" ht="15" customHeight="1" x14ac:dyDescent="0.25">
      <c r="A11" s="1"/>
      <c r="B11" s="54" t="s">
        <v>266</v>
      </c>
      <c r="C11" s="9">
        <v>219053</v>
      </c>
      <c r="D11" s="14" t="s">
        <v>3</v>
      </c>
      <c r="E11" s="1"/>
      <c r="F11" s="1"/>
    </row>
    <row r="12" spans="1:6" x14ac:dyDescent="0.25">
      <c r="A12" s="1"/>
      <c r="B12" s="54" t="s">
        <v>267</v>
      </c>
      <c r="C12" s="9">
        <v>1052726</v>
      </c>
      <c r="D12" s="14" t="s">
        <v>3</v>
      </c>
      <c r="E12" s="1"/>
      <c r="F12" s="1"/>
    </row>
    <row r="13" spans="1:6" x14ac:dyDescent="0.25">
      <c r="A13" s="1"/>
      <c r="B13" s="54" t="s">
        <v>268</v>
      </c>
      <c r="C13" s="9">
        <v>365877</v>
      </c>
      <c r="D13" s="14" t="s">
        <v>3</v>
      </c>
      <c r="E13" s="1"/>
      <c r="F13" s="1"/>
    </row>
    <row r="14" spans="1:6" x14ac:dyDescent="0.25">
      <c r="A14" s="1"/>
      <c r="B14" s="54" t="s">
        <v>269</v>
      </c>
      <c r="C14" s="9">
        <v>125864.6</v>
      </c>
      <c r="D14" s="14" t="s">
        <v>3</v>
      </c>
      <c r="E14" s="1"/>
      <c r="F14" s="1"/>
    </row>
    <row r="15" spans="1:6" x14ac:dyDescent="0.25">
      <c r="A15" s="1"/>
      <c r="B15" s="38" t="s">
        <v>198</v>
      </c>
      <c r="C15" s="12">
        <f>SUM(C10:C14)</f>
        <v>6413487.5999999996</v>
      </c>
      <c r="D15" s="13" t="s">
        <v>3</v>
      </c>
      <c r="E15" s="1"/>
      <c r="F15" s="1"/>
    </row>
    <row r="16" spans="1:6" x14ac:dyDescent="0.25">
      <c r="A16" s="1"/>
      <c r="B16" s="38" t="s">
        <v>199</v>
      </c>
      <c r="C16" s="12">
        <f>C15*(1+'Fane 14. Nøgletal'!C13)^2</f>
        <v>6570931.2809343841</v>
      </c>
      <c r="D16" s="13" t="s">
        <v>3</v>
      </c>
      <c r="E16" s="1"/>
      <c r="F16" s="1"/>
    </row>
    <row r="17" spans="1:6" x14ac:dyDescent="0.25">
      <c r="A17" s="1"/>
      <c r="B17" s="16"/>
      <c r="C17" s="15"/>
      <c r="D17" s="15"/>
      <c r="E17" s="1"/>
      <c r="F17" s="1"/>
    </row>
    <row r="18" spans="1:6" x14ac:dyDescent="0.25">
      <c r="A18" s="1"/>
      <c r="B18" s="16"/>
      <c r="C18" s="15"/>
      <c r="D18" s="15"/>
      <c r="E18" s="1"/>
      <c r="F18" s="1"/>
    </row>
    <row r="19" spans="1:6" x14ac:dyDescent="0.25">
      <c r="A19" s="1"/>
      <c r="B19" s="92" t="s">
        <v>178</v>
      </c>
      <c r="C19" s="93"/>
      <c r="D19" s="94"/>
      <c r="E19" s="1"/>
      <c r="F19" s="1"/>
    </row>
    <row r="20" spans="1:6" x14ac:dyDescent="0.25">
      <c r="A20" s="1"/>
      <c r="B20" s="54" t="s">
        <v>147</v>
      </c>
      <c r="C20" s="9">
        <v>0</v>
      </c>
      <c r="D20" s="14" t="s">
        <v>3</v>
      </c>
      <c r="E20" s="1"/>
      <c r="F20" s="1"/>
    </row>
    <row r="21" spans="1:6" x14ac:dyDescent="0.25">
      <c r="A21" s="1"/>
      <c r="B21" s="54" t="s">
        <v>148</v>
      </c>
      <c r="C21" s="9">
        <v>0</v>
      </c>
      <c r="D21" s="14" t="s">
        <v>3</v>
      </c>
      <c r="E21" s="1"/>
      <c r="F21" s="1"/>
    </row>
    <row r="22" spans="1:6" x14ac:dyDescent="0.25">
      <c r="A22" s="1"/>
      <c r="B22" s="54" t="s">
        <v>149</v>
      </c>
      <c r="C22" s="9">
        <v>0</v>
      </c>
      <c r="D22" s="14" t="s">
        <v>3</v>
      </c>
      <c r="E22" s="1"/>
      <c r="F22" s="1"/>
    </row>
    <row r="23" spans="1:6" x14ac:dyDescent="0.25">
      <c r="A23" s="1"/>
      <c r="B23" s="54" t="s">
        <v>200</v>
      </c>
      <c r="C23" s="9">
        <v>0</v>
      </c>
      <c r="D23" s="14" t="s">
        <v>3</v>
      </c>
      <c r="E23" s="1"/>
      <c r="F23" s="1"/>
    </row>
    <row r="24" spans="1:6" x14ac:dyDescent="0.25">
      <c r="A24" s="1"/>
      <c r="B24" s="92"/>
      <c r="C24" s="93"/>
      <c r="D24" s="94"/>
      <c r="E24" s="1"/>
      <c r="F24" s="1"/>
    </row>
    <row r="25" spans="1:6" x14ac:dyDescent="0.25">
      <c r="A25" s="1"/>
      <c r="B25" s="1"/>
      <c r="C25" s="1"/>
      <c r="D25" s="1"/>
      <c r="E25" s="1"/>
      <c r="F25" s="1"/>
    </row>
    <row r="26" spans="1:6" x14ac:dyDescent="0.25">
      <c r="A26" s="1"/>
      <c r="B26" s="1"/>
      <c r="C26" s="1"/>
      <c r="D26" s="1"/>
      <c r="E26" s="1"/>
      <c r="F26" s="1"/>
    </row>
    <row r="27" spans="1:6" x14ac:dyDescent="0.25">
      <c r="A27" s="1"/>
      <c r="B27" s="92" t="s">
        <v>146</v>
      </c>
      <c r="C27" s="93"/>
      <c r="D27" s="94"/>
      <c r="E27" s="1"/>
      <c r="F27" s="1"/>
    </row>
    <row r="28" spans="1:6" x14ac:dyDescent="0.25">
      <c r="A28" s="1"/>
      <c r="B28" s="54" t="s">
        <v>147</v>
      </c>
      <c r="C28" s="9">
        <v>0</v>
      </c>
      <c r="D28" s="14" t="s">
        <v>3</v>
      </c>
      <c r="E28" s="1"/>
      <c r="F28" s="1"/>
    </row>
    <row r="29" spans="1:6" x14ac:dyDescent="0.25">
      <c r="A29" s="1"/>
      <c r="B29" s="54" t="s">
        <v>148</v>
      </c>
      <c r="C29" s="9">
        <v>0</v>
      </c>
      <c r="D29" s="14" t="s">
        <v>3</v>
      </c>
      <c r="E29" s="1"/>
      <c r="F29" s="1"/>
    </row>
    <row r="30" spans="1:6" x14ac:dyDescent="0.25">
      <c r="A30" s="1"/>
      <c r="B30" s="54" t="s">
        <v>149</v>
      </c>
      <c r="C30" s="9">
        <v>0</v>
      </c>
      <c r="D30" s="14" t="s">
        <v>3</v>
      </c>
      <c r="E30" s="1"/>
      <c r="F30" s="1"/>
    </row>
    <row r="31" spans="1:6" x14ac:dyDescent="0.25">
      <c r="A31" s="1"/>
      <c r="B31" s="54" t="s">
        <v>200</v>
      </c>
      <c r="C31" s="9">
        <v>0</v>
      </c>
      <c r="D31" s="14" t="s">
        <v>3</v>
      </c>
      <c r="E31" s="1"/>
      <c r="F31" s="1"/>
    </row>
    <row r="32" spans="1:6" x14ac:dyDescent="0.25">
      <c r="A32" s="1"/>
      <c r="B32" s="92"/>
      <c r="C32" s="93"/>
      <c r="D32" s="94"/>
      <c r="E32" s="1"/>
      <c r="F32" s="1"/>
    </row>
    <row r="33" spans="1:6" x14ac:dyDescent="0.25">
      <c r="A33" s="1"/>
      <c r="B33" s="1"/>
      <c r="C33" s="1"/>
      <c r="D33" s="1"/>
      <c r="E33" s="1"/>
      <c r="F33" s="1"/>
    </row>
    <row r="34" spans="1:6" x14ac:dyDescent="0.25">
      <c r="A34" s="1"/>
      <c r="B34" s="1"/>
      <c r="C34" s="1"/>
      <c r="D34" s="1"/>
      <c r="E34" s="1"/>
      <c r="F34" s="1"/>
    </row>
    <row r="35" spans="1:6" x14ac:dyDescent="0.25">
      <c r="A35" s="1"/>
      <c r="B35" s="1"/>
      <c r="C35" s="1"/>
      <c r="D35" s="1"/>
      <c r="E35" s="1"/>
      <c r="F35" s="1"/>
    </row>
    <row r="36" spans="1:6" x14ac:dyDescent="0.25">
      <c r="A36" s="1"/>
      <c r="B36" s="1"/>
      <c r="C36" s="1"/>
      <c r="D36" s="1"/>
      <c r="E36" s="1"/>
      <c r="F36" s="1"/>
    </row>
    <row r="37" spans="1:6" x14ac:dyDescent="0.25">
      <c r="A37" s="1"/>
      <c r="B37" s="1"/>
      <c r="C37" s="1"/>
      <c r="D37" s="1"/>
      <c r="E37" s="1"/>
      <c r="F37" s="1"/>
    </row>
    <row r="38" spans="1:6" x14ac:dyDescent="0.25">
      <c r="A38" s="1"/>
      <c r="B38" s="1"/>
      <c r="C38" s="1"/>
      <c r="D38" s="1"/>
      <c r="E38" s="1"/>
      <c r="F38" s="1"/>
    </row>
    <row r="39" spans="1:6" x14ac:dyDescent="0.25">
      <c r="A39" s="1"/>
      <c r="B39" s="1"/>
      <c r="C39" s="1"/>
      <c r="D39" s="1"/>
      <c r="E39" s="1"/>
      <c r="F39" s="1"/>
    </row>
    <row r="40" spans="1:6" x14ac:dyDescent="0.25">
      <c r="A40" s="1"/>
      <c r="B40" s="1"/>
      <c r="C40" s="1"/>
      <c r="D40" s="1"/>
      <c r="E40" s="1"/>
      <c r="F40" s="1"/>
    </row>
    <row r="41" spans="1:6" x14ac:dyDescent="0.25">
      <c r="A41" s="1"/>
      <c r="B41" s="1"/>
      <c r="C41" s="1"/>
      <c r="D41" s="1"/>
      <c r="E41" s="1"/>
      <c r="F41" s="1"/>
    </row>
    <row r="42" spans="1:6" x14ac:dyDescent="0.25">
      <c r="A42" s="1"/>
      <c r="B42" s="1"/>
      <c r="C42" s="1"/>
      <c r="D42" s="1"/>
      <c r="E42" s="1"/>
      <c r="F42" s="1"/>
    </row>
    <row r="43" spans="1:6" x14ac:dyDescent="0.25">
      <c r="A43" s="1"/>
      <c r="B43" s="1"/>
      <c r="C43" s="1"/>
      <c r="D43" s="1"/>
      <c r="E43" s="1"/>
      <c r="F43" s="1"/>
    </row>
    <row r="44" spans="1:6" x14ac:dyDescent="0.25">
      <c r="A44" s="1"/>
      <c r="B44" s="1"/>
      <c r="C44" s="1"/>
      <c r="D44" s="1"/>
      <c r="E44" s="1"/>
      <c r="F44" s="1"/>
    </row>
    <row r="45" spans="1:6" x14ac:dyDescent="0.25">
      <c r="A45" s="1"/>
      <c r="B45" s="1"/>
      <c r="C45" s="1"/>
      <c r="D45" s="1"/>
      <c r="E45" s="1"/>
      <c r="F45" s="1"/>
    </row>
    <row r="46" spans="1:6" x14ac:dyDescent="0.25">
      <c r="A46" s="1"/>
      <c r="B46" s="1"/>
      <c r="C46" s="1"/>
      <c r="D46" s="1"/>
      <c r="E46" s="1"/>
      <c r="F46" s="1"/>
    </row>
    <row r="47" spans="1:6" x14ac:dyDescent="0.25">
      <c r="A47" s="1"/>
      <c r="B47" s="1"/>
      <c r="C47" s="1"/>
      <c r="D47" s="1"/>
      <c r="E47" s="1"/>
      <c r="F47" s="1"/>
    </row>
    <row r="48" spans="1:6" x14ac:dyDescent="0.25">
      <c r="A48" s="1"/>
      <c r="B48" s="1"/>
      <c r="C48" s="1"/>
      <c r="D48" s="1"/>
      <c r="E48" s="1"/>
      <c r="F48" s="1"/>
    </row>
    <row r="49" spans="1:6" x14ac:dyDescent="0.25">
      <c r="A49" s="1"/>
      <c r="B49" s="1"/>
      <c r="C49" s="1"/>
      <c r="D49" s="1"/>
      <c r="E49" s="1"/>
      <c r="F49" s="1"/>
    </row>
    <row r="50" spans="1:6" x14ac:dyDescent="0.25">
      <c r="A50" s="1"/>
      <c r="B50" s="1"/>
      <c r="C50" s="1"/>
      <c r="D50" s="1"/>
      <c r="E50" s="1"/>
      <c r="F50" s="1"/>
    </row>
    <row r="51" spans="1:6" x14ac:dyDescent="0.25">
      <c r="A51" s="1"/>
      <c r="B51" s="1"/>
      <c r="C51" s="1"/>
      <c r="D51" s="1"/>
      <c r="E51" s="1"/>
      <c r="F51" s="1"/>
    </row>
    <row r="52" spans="1:6" x14ac:dyDescent="0.25">
      <c r="A52" s="1"/>
      <c r="B52" s="1"/>
      <c r="C52" s="1"/>
      <c r="D52" s="1"/>
      <c r="E52" s="1"/>
      <c r="F52" s="1"/>
    </row>
  </sheetData>
  <sheetProtection algorithmName="SHA-512" hashValue="0a818zN1wMtOjmEyC5dm2XFNJEVhYrRzgETWZ9SknmZVjqfX47K+uDVfi7Tbg+8M5BLVhPOzqVWBJKVpACxV0Q==" saltValue="NLIatP8PpJKmFu54kyaQNw==" spinCount="100000" sheet="1" objects="1" scenarios="1"/>
  <mergeCells count="6">
    <mergeCell ref="B32:D32"/>
    <mergeCell ref="B3:D4"/>
    <mergeCell ref="B8:D8"/>
    <mergeCell ref="B19:D19"/>
    <mergeCell ref="B27:D27"/>
    <mergeCell ref="B24:D24"/>
  </mergeCells>
  <pageMargins left="0.75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G60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85546875" style="2" customWidth="1"/>
    <col min="5" max="5" width="10.7109375" style="2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256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ht="15" customHeight="1" x14ac:dyDescent="0.25">
      <c r="A5" s="1"/>
      <c r="B5" s="51"/>
      <c r="C5" s="51"/>
      <c r="D5" s="51"/>
      <c r="E5" s="51"/>
      <c r="F5" s="51"/>
      <c r="G5" s="1"/>
    </row>
    <row r="6" spans="1:7" ht="15" customHeight="1" x14ac:dyDescent="0.25">
      <c r="A6" s="1"/>
      <c r="B6" s="51"/>
      <c r="C6" s="51"/>
      <c r="D6" s="51"/>
      <c r="E6" s="51"/>
      <c r="F6" s="5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137</v>
      </c>
      <c r="C8" s="93"/>
      <c r="D8" s="93"/>
      <c r="E8" s="93"/>
      <c r="F8" s="94"/>
      <c r="G8" s="1"/>
    </row>
    <row r="9" spans="1:7" x14ac:dyDescent="0.25">
      <c r="A9" s="1"/>
      <c r="B9" s="95" t="s">
        <v>138</v>
      </c>
      <c r="C9" s="96"/>
      <c r="D9" s="97"/>
      <c r="E9" s="9">
        <v>226705698</v>
      </c>
      <c r="F9" s="14" t="s">
        <v>3</v>
      </c>
      <c r="G9" s="1"/>
    </row>
    <row r="10" spans="1:7" x14ac:dyDescent="0.25">
      <c r="A10" s="1"/>
      <c r="B10" s="95" t="s">
        <v>139</v>
      </c>
      <c r="C10" s="96"/>
      <c r="D10" s="97"/>
      <c r="E10" s="9">
        <v>244037436</v>
      </c>
      <c r="F10" s="14" t="s">
        <v>3</v>
      </c>
      <c r="G10" s="1"/>
    </row>
    <row r="11" spans="1:7" x14ac:dyDescent="0.25">
      <c r="A11" s="1"/>
      <c r="B11" s="95" t="s">
        <v>40</v>
      </c>
      <c r="C11" s="96"/>
      <c r="D11" s="97"/>
      <c r="E11" s="9">
        <v>177686</v>
      </c>
      <c r="F11" s="14" t="s">
        <v>3</v>
      </c>
      <c r="G11" s="1"/>
    </row>
    <row r="12" spans="1:7" x14ac:dyDescent="0.25">
      <c r="A12" s="1"/>
      <c r="B12" s="85" t="s">
        <v>140</v>
      </c>
      <c r="C12" s="86"/>
      <c r="D12" s="104"/>
      <c r="E12" s="10">
        <f>E9-(E10-E11)</f>
        <v>-17154052</v>
      </c>
      <c r="F12" s="17" t="s">
        <v>3</v>
      </c>
      <c r="G12" s="1"/>
    </row>
    <row r="13" spans="1:7" x14ac:dyDescent="0.25">
      <c r="A13" s="1"/>
      <c r="B13" s="38"/>
      <c r="C13" s="32"/>
      <c r="D13" s="32"/>
      <c r="E13" s="32"/>
      <c r="F13" s="20"/>
      <c r="G13" s="1"/>
    </row>
    <row r="14" spans="1:7" ht="27" customHeight="1" x14ac:dyDescent="0.25">
      <c r="A14" s="1"/>
      <c r="B14" s="80" t="s">
        <v>156</v>
      </c>
      <c r="C14" s="81"/>
      <c r="D14" s="81"/>
      <c r="E14" s="81"/>
      <c r="F14" s="82"/>
      <c r="G14" s="1"/>
    </row>
    <row r="15" spans="1:7" ht="28.5" customHeight="1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92" t="s">
        <v>52</v>
      </c>
      <c r="C16" s="93"/>
      <c r="D16" s="93"/>
      <c r="E16" s="93"/>
      <c r="F16" s="94"/>
      <c r="G16" s="1"/>
    </row>
    <row r="17" spans="1:7" x14ac:dyDescent="0.25">
      <c r="A17" s="1"/>
      <c r="B17" s="95" t="s">
        <v>53</v>
      </c>
      <c r="C17" s="96"/>
      <c r="D17" s="97"/>
      <c r="E17" s="9">
        <v>251179548.27643007</v>
      </c>
      <c r="F17" s="14" t="s">
        <v>3</v>
      </c>
      <c r="G17" s="1"/>
    </row>
    <row r="18" spans="1:7" x14ac:dyDescent="0.25">
      <c r="A18" s="1"/>
      <c r="B18" s="95" t="s">
        <v>54</v>
      </c>
      <c r="C18" s="96"/>
      <c r="D18" s="97"/>
      <c r="E18" s="9">
        <v>253356533</v>
      </c>
      <c r="F18" s="14" t="s">
        <v>3</v>
      </c>
      <c r="G18" s="1"/>
    </row>
    <row r="19" spans="1:7" x14ac:dyDescent="0.25">
      <c r="A19" s="1"/>
      <c r="B19" s="95" t="s">
        <v>40</v>
      </c>
      <c r="C19" s="96"/>
      <c r="D19" s="97"/>
      <c r="E19" s="9">
        <v>152000</v>
      </c>
      <c r="F19" s="14" t="s">
        <v>3</v>
      </c>
      <c r="G19" s="1"/>
    </row>
    <row r="20" spans="1:7" x14ac:dyDescent="0.25">
      <c r="A20" s="1"/>
      <c r="B20" s="85" t="s">
        <v>55</v>
      </c>
      <c r="C20" s="86"/>
      <c r="D20" s="104"/>
      <c r="E20" s="10">
        <f>E17-(E18-E19)</f>
        <v>-2024984.7235699296</v>
      </c>
      <c r="F20" s="17" t="s">
        <v>3</v>
      </c>
      <c r="G20" s="1"/>
    </row>
    <row r="21" spans="1:7" x14ac:dyDescent="0.25">
      <c r="A21" s="1"/>
      <c r="B21" s="38"/>
      <c r="C21" s="32"/>
      <c r="D21" s="32"/>
      <c r="E21" s="32"/>
      <c r="F21" s="20"/>
      <c r="G21" s="1"/>
    </row>
    <row r="22" spans="1:7" ht="28.5" customHeight="1" x14ac:dyDescent="0.25">
      <c r="A22" s="1"/>
      <c r="B22" s="80" t="s">
        <v>218</v>
      </c>
      <c r="C22" s="81"/>
      <c r="D22" s="81"/>
      <c r="E22" s="81"/>
      <c r="F22" s="82"/>
      <c r="G22" s="1"/>
    </row>
    <row r="23" spans="1:7" ht="28.5" customHeight="1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92" t="s">
        <v>245</v>
      </c>
      <c r="C24" s="93"/>
      <c r="D24" s="93"/>
      <c r="E24" s="93"/>
      <c r="F24" s="94"/>
      <c r="G24" s="1"/>
    </row>
    <row r="25" spans="1:7" x14ac:dyDescent="0.25">
      <c r="A25" s="1"/>
      <c r="B25" s="95" t="s">
        <v>246</v>
      </c>
      <c r="C25" s="96"/>
      <c r="D25" s="97"/>
      <c r="E25" s="9">
        <v>260037263.4054012</v>
      </c>
      <c r="F25" s="14" t="s">
        <v>3</v>
      </c>
      <c r="G25" s="1"/>
    </row>
    <row r="26" spans="1:7" x14ac:dyDescent="0.25">
      <c r="A26" s="1"/>
      <c r="B26" s="95" t="s">
        <v>247</v>
      </c>
      <c r="C26" s="96"/>
      <c r="D26" s="97"/>
      <c r="E26" s="9">
        <v>250818603</v>
      </c>
      <c r="F26" s="14" t="s">
        <v>3</v>
      </c>
      <c r="G26" s="1"/>
    </row>
    <row r="27" spans="1:7" x14ac:dyDescent="0.25">
      <c r="A27" s="1"/>
      <c r="B27" s="95" t="s">
        <v>40</v>
      </c>
      <c r="C27" s="96"/>
      <c r="D27" s="97"/>
      <c r="E27" s="9">
        <v>117110</v>
      </c>
      <c r="F27" s="14" t="s">
        <v>3</v>
      </c>
      <c r="G27" s="1"/>
    </row>
    <row r="28" spans="1:7" x14ac:dyDescent="0.25">
      <c r="A28" s="1"/>
      <c r="B28" s="85" t="s">
        <v>248</v>
      </c>
      <c r="C28" s="86"/>
      <c r="D28" s="104"/>
      <c r="E28" s="10">
        <f>E25-(E26-E27)</f>
        <v>9335770.4054012001</v>
      </c>
      <c r="F28" s="17" t="s">
        <v>3</v>
      </c>
      <c r="G28" s="1"/>
    </row>
    <row r="29" spans="1:7" x14ac:dyDescent="0.25">
      <c r="A29" s="1"/>
      <c r="B29" s="38"/>
      <c r="C29" s="32"/>
      <c r="D29" s="32"/>
      <c r="E29" s="32"/>
      <c r="F29" s="20"/>
      <c r="G29" s="1"/>
    </row>
    <row r="30" spans="1:7" ht="28.5" customHeight="1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92" t="s">
        <v>250</v>
      </c>
      <c r="C31" s="93"/>
      <c r="D31" s="93"/>
      <c r="E31" s="93"/>
      <c r="F31" s="94"/>
      <c r="G31" s="1"/>
    </row>
    <row r="32" spans="1:7" x14ac:dyDescent="0.25">
      <c r="A32" s="1"/>
      <c r="B32" s="85" t="s">
        <v>251</v>
      </c>
      <c r="C32" s="86"/>
      <c r="D32" s="104"/>
      <c r="E32" s="10">
        <f>IF(AND(E12&lt;0,E20&gt;=0,E28&gt;=0),E12/2,IF(AND(E12&lt;0,E20&lt;0,E28&lt;0),SUM(E12,E20)/2,IF(AND(E12&lt;0,E20&gt;=0,E28&lt;0,ABS(E20)&gt;ABS(E28)),E12/2,IF(AND(E12&lt;0,E20&gt;=0,E28&lt;0,ABS(E20)&lt;ABS(E28)),E12/2,IF(AND(E12&lt;0,E20&lt;0,E28&gt;=0,ABS(E20)&gt;ABS(E28)),E12/2+(E20/2+E28),IF(AND(E12&lt;0,E20&lt;0,E28&gt;=0,ABS(E20)&lt;ABS(E28)),E12/2+E20/2+(E28-(E28+E20)),IF(AND(E12&gt;=0,E20&gt;=0,E28&gt;=0),0,IF(AND(E12&gt;=0,E20&lt;0,E28&lt;0,ABS(E20)&gt;ABS(E12)),(E20+E12)/2,IF(AND(E12&gt;=0,E20&lt;0,E28&lt;0,ABS(E20)&lt;ABS(E12)),0,IF(AND(E12&gt;0,E20&gt;=0,E28&lt;0,ABS(E20)&gt;ABS(E28)),0,IF(AND(E12&gt;0,E20&gt;=0,E28&lt;0,ABS(E20)&lt;ABS(E28)),0,IF(AND(E12&gt;0,E20&lt;0,E28&gt;=0,ABS(E12)&gt;ABS(E20)),0,IF(AND(E12&gt;0,E20&lt;0,E28&gt;=0,ABS(E12)&lt;ABS(E20),ABS(E28)&gt;ABS(E20+E12)),(E20+E12)/2+(E28-E28-(E20+E12)),IF(AND(E12&gt;0,E20&lt;0,E28&gt;=0,ABS(E12)&lt;ABS(E20),ABS(E28)&lt;ABS(E20+E12)),(E20+E12)/2+E28,0))))))))))))))</f>
        <v>-7564533.6382150352</v>
      </c>
      <c r="F32" s="17" t="s">
        <v>3</v>
      </c>
      <c r="G32" s="1"/>
    </row>
    <row r="33" spans="1:7" x14ac:dyDescent="0.25">
      <c r="A33" s="1"/>
      <c r="B33" s="92"/>
      <c r="C33" s="93"/>
      <c r="D33" s="93"/>
      <c r="E33" s="93"/>
      <c r="F33" s="94"/>
      <c r="G33" s="1"/>
    </row>
    <row r="34" spans="1:7" ht="28.5" customHeight="1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92" t="s">
        <v>249</v>
      </c>
      <c r="C35" s="93"/>
      <c r="D35" s="93"/>
      <c r="E35" s="93"/>
      <c r="F35" s="94"/>
      <c r="G35" s="1"/>
    </row>
    <row r="36" spans="1:7" x14ac:dyDescent="0.25">
      <c r="A36" s="1"/>
      <c r="B36" s="105" t="s">
        <v>307</v>
      </c>
      <c r="C36" s="106"/>
      <c r="D36" s="107"/>
      <c r="E36" s="9">
        <v>0</v>
      </c>
      <c r="F36" s="14"/>
      <c r="G36" s="1"/>
    </row>
    <row r="37" spans="1:7" x14ac:dyDescent="0.25">
      <c r="A37" s="1"/>
      <c r="B37" s="105" t="s">
        <v>308</v>
      </c>
      <c r="C37" s="106"/>
      <c r="D37" s="107"/>
      <c r="E37" s="9">
        <v>0</v>
      </c>
      <c r="F37" s="14"/>
      <c r="G37" s="1"/>
    </row>
    <row r="38" spans="1:7" x14ac:dyDescent="0.25">
      <c r="A38" s="1"/>
      <c r="B38" s="105" t="s">
        <v>252</v>
      </c>
      <c r="C38" s="106"/>
      <c r="D38" s="107"/>
      <c r="E38" s="9">
        <f>IF(AND(E12&lt;0,E20&gt;=0,E28&gt;=0,),0,IF(AND(E12&lt;0,E20&lt;0,E28&gt;=0),0,IF(AND(E12&lt;0,E20&lt;0,E28&lt;0),E28,IF(AND(E12&lt;0,E20&gt;=0,E28&lt;0,ABS(E20)&gt;ABS(E28),E36=0,E37=1),0,IF(AND(E12&lt;0,E20&gt;=0,E28&lt;0,ABS(E20)&lt;ABS(E28),E36=0,E37=1),(E28+E20),IF(AND(E12&lt;0,E20&gt;=0,E28&lt;0,ABS(E20)&gt;ABS(E28)),0,IF(AND(E12&lt;0,E20&gt;=0,E28&lt;0,ABS(E20)&lt;ABS(E28)),(E20+E28),IF(AND(E12&gt;=0,E20&gt;=0,E28&gt;=0),0,IF(AND(E12&gt;=0,E20&lt;0,E28&lt;0,SUM(E12+E20)&gt;=0,ABS(E20+E28)&gt;E12,E36=1,E37=0),(E12+E20+E28),IF(AND(E12&gt;=0,E20&lt;0,E28&lt;0,SUM(E12+E20)&gt;=0,ABS(E20+E28)&lt;E12,E36=1,E37=0),0,IF(AND(E12&gt;=0,E20&lt;0,E28&lt;0,SUM(E12+E20)&lt;0,E36=1,E37=0),(E28),IF(AND(E12&gt;=0,E20&lt;0,E28&lt;0),E28,IF(AND(E12&gt;0,E20&gt;=0,E28&lt;0,ABS(E20+E12)&gt;ABS(E28),E36=1,E37=1),0,IF(AND(E12&gt;0,E20&gt;=0,E28&lt;0,ABS(E20+E12)&lt;ABS(E28),E36=1,E37=1),(E28+(E12+E20)),IF(AND(E12&gt;0,E20&gt;=0,E28&lt;0,ABS(E20)&gt;ABS(E28)),0,IF(AND(E12&gt;0,E20&gt;=0,E28&lt;0,ABS(E20)&lt;ABS(E28)),(E20+E28),IF(AND(E12&gt;=0,E20&lt;0,E28&gt;=0),0,0)))))))))))))))))</f>
        <v>0</v>
      </c>
      <c r="F38" s="14" t="s">
        <v>3</v>
      </c>
      <c r="G38" s="1"/>
    </row>
    <row r="39" spans="1:7" x14ac:dyDescent="0.25">
      <c r="A39" s="1"/>
      <c r="B39" s="105" t="s">
        <v>152</v>
      </c>
      <c r="C39" s="106"/>
      <c r="D39" s="107"/>
      <c r="E39" s="9">
        <v>2</v>
      </c>
      <c r="F39" s="14" t="s">
        <v>21</v>
      </c>
      <c r="G39" s="1"/>
    </row>
    <row r="40" spans="1:7" x14ac:dyDescent="0.25">
      <c r="A40" s="1"/>
      <c r="B40" s="111" t="s">
        <v>253</v>
      </c>
      <c r="C40" s="111"/>
      <c r="D40" s="111"/>
      <c r="E40" s="10">
        <f>E38/E39</f>
        <v>0</v>
      </c>
      <c r="F40" s="17" t="s">
        <v>3</v>
      </c>
      <c r="G40" s="1"/>
    </row>
    <row r="41" spans="1:7" x14ac:dyDescent="0.25">
      <c r="A41" s="1"/>
      <c r="B41" s="108"/>
      <c r="C41" s="109"/>
      <c r="D41" s="109"/>
      <c r="E41" s="109"/>
      <c r="F41" s="110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7" spans="1:7" x14ac:dyDescent="0.25">
      <c r="A47" s="42"/>
      <c r="B47" s="42"/>
      <c r="C47" s="42"/>
      <c r="D47" s="42"/>
      <c r="E47" s="42"/>
      <c r="F47" s="42"/>
      <c r="G47" s="42"/>
    </row>
    <row r="48" spans="1:7" x14ac:dyDescent="0.25">
      <c r="A48" s="42"/>
      <c r="B48" s="42"/>
      <c r="C48" s="42"/>
      <c r="D48" s="42"/>
      <c r="E48" s="42"/>
      <c r="F48" s="42"/>
      <c r="G48" s="42"/>
    </row>
    <row r="49" spans="1:7" x14ac:dyDescent="0.25">
      <c r="A49" s="42"/>
      <c r="B49" s="42"/>
      <c r="C49" s="42"/>
      <c r="D49" s="42"/>
      <c r="E49" s="42"/>
      <c r="F49" s="42"/>
      <c r="G49" s="42"/>
    </row>
    <row r="50" spans="1:7" x14ac:dyDescent="0.25">
      <c r="A50" s="42"/>
      <c r="B50" s="42"/>
      <c r="C50" s="42"/>
      <c r="D50" s="42"/>
      <c r="E50" s="42"/>
      <c r="F50" s="42"/>
      <c r="G50" s="42"/>
    </row>
    <row r="51" spans="1:7" x14ac:dyDescent="0.25">
      <c r="A51" s="42"/>
      <c r="B51" s="42"/>
      <c r="C51" s="42"/>
      <c r="D51" s="42"/>
      <c r="E51" s="42"/>
      <c r="F51" s="42"/>
      <c r="G51" s="42"/>
    </row>
    <row r="52" spans="1:7" x14ac:dyDescent="0.25">
      <c r="A52" s="42"/>
      <c r="B52" s="42"/>
      <c r="C52" s="42"/>
      <c r="D52" s="42"/>
      <c r="E52" s="42"/>
      <c r="F52" s="42"/>
      <c r="G52" s="42"/>
    </row>
    <row r="53" spans="1:7" x14ac:dyDescent="0.25">
      <c r="A53" s="42"/>
      <c r="B53" s="42"/>
      <c r="C53" s="42"/>
      <c r="D53" s="42"/>
      <c r="E53" s="42"/>
      <c r="F53" s="42"/>
      <c r="G53" s="42"/>
    </row>
    <row r="54" spans="1:7" x14ac:dyDescent="0.25">
      <c r="A54" s="42"/>
      <c r="B54" s="42"/>
      <c r="C54" s="42"/>
      <c r="D54" s="42"/>
      <c r="E54" s="42"/>
      <c r="F54" s="42"/>
      <c r="G54" s="42"/>
    </row>
    <row r="55" spans="1:7" x14ac:dyDescent="0.25">
      <c r="A55" s="42"/>
      <c r="B55" s="42"/>
      <c r="C55" s="42"/>
      <c r="D55" s="42"/>
      <c r="E55" s="42"/>
      <c r="F55" s="42"/>
      <c r="G55" s="42"/>
    </row>
    <row r="56" spans="1:7" x14ac:dyDescent="0.25">
      <c r="A56" s="42"/>
      <c r="B56" s="42"/>
      <c r="C56" s="42"/>
      <c r="D56" s="42"/>
      <c r="E56" s="42"/>
      <c r="F56" s="42"/>
      <c r="G56" s="42"/>
    </row>
    <row r="57" spans="1:7" x14ac:dyDescent="0.25">
      <c r="A57" s="42"/>
      <c r="B57" s="42"/>
      <c r="C57" s="42"/>
      <c r="D57" s="42"/>
      <c r="E57" s="42"/>
      <c r="F57" s="42"/>
      <c r="G57" s="42"/>
    </row>
    <row r="58" spans="1:7" x14ac:dyDescent="0.25">
      <c r="A58" s="42"/>
      <c r="B58" s="42"/>
      <c r="C58" s="42"/>
      <c r="D58" s="42"/>
      <c r="E58" s="42"/>
      <c r="F58" s="42"/>
      <c r="G58" s="42"/>
    </row>
    <row r="59" spans="1:7" x14ac:dyDescent="0.25">
      <c r="A59" s="42"/>
      <c r="B59" s="42"/>
      <c r="C59" s="42"/>
      <c r="D59" s="42"/>
      <c r="E59" s="42"/>
      <c r="F59" s="42"/>
      <c r="G59" s="42"/>
    </row>
    <row r="60" spans="1:7" x14ac:dyDescent="0.25">
      <c r="A60" s="42"/>
      <c r="B60" s="42"/>
      <c r="C60" s="42"/>
      <c r="D60" s="42"/>
      <c r="E60" s="42"/>
      <c r="F60" s="42"/>
      <c r="G60" s="42"/>
    </row>
  </sheetData>
  <sheetProtection algorithmName="SHA-512" hashValue="RPEP2VxMvyd53mWBNtnFb5UWGspn+M71RqIT25QOwSDyoz3AGu391T3tWw2btQ0Up7uvcHFcAYDYPy2NP/hsog==" saltValue="C7PkHKamckfWBXRXGIFM2w==" spinCount="100000" sheet="1" objects="1" scenarios="1"/>
  <mergeCells count="28">
    <mergeCell ref="B20:D20"/>
    <mergeCell ref="B3:F4"/>
    <mergeCell ref="B16:F16"/>
    <mergeCell ref="B17:D17"/>
    <mergeCell ref="B18:D18"/>
    <mergeCell ref="B19:D19"/>
    <mergeCell ref="B8:F8"/>
    <mergeCell ref="B9:D9"/>
    <mergeCell ref="B10:D10"/>
    <mergeCell ref="B11:D11"/>
    <mergeCell ref="B12:D12"/>
    <mergeCell ref="B14:F14"/>
    <mergeCell ref="B35:F35"/>
    <mergeCell ref="B38:D38"/>
    <mergeCell ref="B41:F41"/>
    <mergeCell ref="B39:D39"/>
    <mergeCell ref="B40:D40"/>
    <mergeCell ref="B36:D36"/>
    <mergeCell ref="B37:D37"/>
    <mergeCell ref="B33:F33"/>
    <mergeCell ref="B31:F31"/>
    <mergeCell ref="B32:D32"/>
    <mergeCell ref="B22:F22"/>
    <mergeCell ref="B24:F24"/>
    <mergeCell ref="B25:D25"/>
    <mergeCell ref="B26:D26"/>
    <mergeCell ref="B27:D27"/>
    <mergeCell ref="B28:D28"/>
  </mergeCells>
  <pageMargins left="0.79166666666666663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G49"/>
  <sheetViews>
    <sheetView showGridLines="0" view="pageLayout" zoomScaleNormal="100" workbookViewId="0"/>
  </sheetViews>
  <sheetFormatPr defaultColWidth="9.140625" defaultRowHeight="15" x14ac:dyDescent="0.25"/>
  <cols>
    <col min="1" max="1" width="3.5703125" style="2" customWidth="1"/>
    <col min="2" max="3" width="9.140625" style="2"/>
    <col min="4" max="4" width="45.5703125" style="2" customWidth="1"/>
    <col min="5" max="5" width="12.7109375" style="2" bestFit="1" customWidth="1"/>
    <col min="6" max="6" width="3.28515625" style="2" customWidth="1"/>
    <col min="7" max="7" width="2.425781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29.25" customHeight="1" x14ac:dyDescent="0.25">
      <c r="A3" s="1"/>
      <c r="B3" s="89" t="s">
        <v>201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1"/>
      <c r="C8" s="1"/>
      <c r="D8" s="1"/>
      <c r="E8" s="1"/>
      <c r="F8" s="1"/>
      <c r="G8" s="1"/>
    </row>
    <row r="9" spans="1:7" ht="15" customHeight="1" x14ac:dyDescent="0.25">
      <c r="A9" s="1"/>
      <c r="B9" s="92" t="s">
        <v>202</v>
      </c>
      <c r="C9" s="93"/>
      <c r="D9" s="93"/>
      <c r="E9" s="93"/>
      <c r="F9" s="94"/>
      <c r="G9" s="1"/>
    </row>
    <row r="10" spans="1:7" x14ac:dyDescent="0.25">
      <c r="A10" s="1"/>
      <c r="B10" s="80" t="s">
        <v>150</v>
      </c>
      <c r="C10" s="81"/>
      <c r="D10" s="82"/>
      <c r="E10" s="7">
        <v>0</v>
      </c>
      <c r="F10" s="8" t="s">
        <v>3</v>
      </c>
      <c r="G10" s="1"/>
    </row>
    <row r="11" spans="1:7" x14ac:dyDescent="0.25">
      <c r="A11" s="1"/>
      <c r="B11" s="95" t="s">
        <v>203</v>
      </c>
      <c r="C11" s="96"/>
      <c r="D11" s="97"/>
      <c r="E11" s="7">
        <v>0</v>
      </c>
      <c r="F11" s="8" t="s">
        <v>3</v>
      </c>
      <c r="G11" s="1"/>
    </row>
    <row r="12" spans="1:7" x14ac:dyDescent="0.25">
      <c r="A12" s="1"/>
      <c r="B12" s="85" t="s">
        <v>151</v>
      </c>
      <c r="C12" s="86"/>
      <c r="D12" s="104"/>
      <c r="E12" s="10">
        <f>E11-E10</f>
        <v>0</v>
      </c>
      <c r="F12" s="11" t="s">
        <v>3</v>
      </c>
      <c r="G12" s="1"/>
    </row>
    <row r="13" spans="1:7" x14ac:dyDescent="0.25">
      <c r="A13" s="1"/>
      <c r="B13" s="92" t="s">
        <v>134</v>
      </c>
      <c r="C13" s="93"/>
      <c r="D13" s="93"/>
      <c r="E13" s="93"/>
      <c r="F13" s="94"/>
      <c r="G13" s="1"/>
    </row>
    <row r="14" spans="1:7" x14ac:dyDescent="0.25">
      <c r="A14" s="1"/>
      <c r="B14" s="95" t="s">
        <v>204</v>
      </c>
      <c r="C14" s="96"/>
      <c r="D14" s="97"/>
      <c r="E14" s="9">
        <v>0</v>
      </c>
      <c r="F14" s="8" t="s">
        <v>3</v>
      </c>
      <c r="G14" s="1"/>
    </row>
    <row r="15" spans="1:7" x14ac:dyDescent="0.25">
      <c r="A15" s="1"/>
      <c r="B15" s="80" t="s">
        <v>205</v>
      </c>
      <c r="C15" s="81"/>
      <c r="D15" s="82"/>
      <c r="E15" s="9">
        <v>0</v>
      </c>
      <c r="F15" s="8" t="s">
        <v>3</v>
      </c>
      <c r="G15" s="1"/>
    </row>
    <row r="16" spans="1:7" x14ac:dyDescent="0.25">
      <c r="A16" s="1"/>
      <c r="B16" s="85" t="s">
        <v>151</v>
      </c>
      <c r="C16" s="86"/>
      <c r="D16" s="104"/>
      <c r="E16" s="10">
        <f>E15-E14</f>
        <v>0</v>
      </c>
      <c r="F16" s="11" t="s">
        <v>3</v>
      </c>
      <c r="G16" s="1"/>
    </row>
    <row r="17" spans="1:7" x14ac:dyDescent="0.25">
      <c r="A17" s="1"/>
      <c r="B17" s="38" t="s">
        <v>206</v>
      </c>
      <c r="C17" s="32"/>
      <c r="D17" s="32"/>
      <c r="E17" s="12">
        <f>E12+E16</f>
        <v>0</v>
      </c>
      <c r="F17" s="13" t="s">
        <v>3</v>
      </c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</sheetData>
  <sheetProtection algorithmName="SHA-512" hashValue="aMWtu8s08S81YHdVk+q5YFZZrmHvGAYlR8NPUaLq0jdT0f9kN4rjeiUPqebhYxpyt5PX4L0RFqCNDhpEJyyp/Q==" saltValue="NOcjpk8iDQ1RZh9JkXhNaQ==" spinCount="100000" sheet="1" objects="1" scenarios="1"/>
  <mergeCells count="9">
    <mergeCell ref="B13:F13"/>
    <mergeCell ref="B16:D16"/>
    <mergeCell ref="B3:F4"/>
    <mergeCell ref="B10:D10"/>
    <mergeCell ref="B11:D11"/>
    <mergeCell ref="B14:D14"/>
    <mergeCell ref="B15:D15"/>
    <mergeCell ref="B9:F9"/>
    <mergeCell ref="B12:D12"/>
  </mergeCells>
  <pageMargins left="0.79166666666666663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I138"/>
  <sheetViews>
    <sheetView showGridLines="0" view="pageLayout" zoomScaleNormal="100" workbookViewId="0"/>
  </sheetViews>
  <sheetFormatPr defaultColWidth="9.140625" defaultRowHeight="15" x14ac:dyDescent="0.25"/>
  <cols>
    <col min="1" max="1" width="4.7109375" style="2" customWidth="1"/>
    <col min="2" max="2" width="22.5703125" style="2" customWidth="1"/>
    <col min="3" max="3" width="8.28515625" style="2" customWidth="1"/>
    <col min="4" max="6" width="10.7109375" style="2" customWidth="1"/>
    <col min="7" max="7" width="11.140625" style="2" customWidth="1"/>
    <col min="8" max="8" width="3.28515625" style="2" customWidth="1"/>
    <col min="9" max="9" width="4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236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237</v>
      </c>
      <c r="C8" s="93"/>
      <c r="D8" s="93"/>
      <c r="E8" s="93"/>
      <c r="F8" s="93"/>
      <c r="G8" s="93"/>
      <c r="H8" s="94"/>
      <c r="I8" s="1"/>
    </row>
    <row r="9" spans="1:9" ht="39.75" customHeight="1" x14ac:dyDescent="0.25">
      <c r="A9" s="1"/>
      <c r="B9" s="19" t="s">
        <v>0</v>
      </c>
      <c r="C9" s="19" t="s">
        <v>1</v>
      </c>
      <c r="D9" s="19" t="s">
        <v>11</v>
      </c>
      <c r="E9" s="11" t="s">
        <v>2</v>
      </c>
      <c r="F9" s="11" t="s">
        <v>12</v>
      </c>
      <c r="G9" s="11" t="s">
        <v>37</v>
      </c>
      <c r="H9" s="37"/>
      <c r="I9" s="1"/>
    </row>
    <row r="10" spans="1:9" x14ac:dyDescent="0.25">
      <c r="A10" s="1"/>
      <c r="B10" s="56" t="s">
        <v>272</v>
      </c>
      <c r="C10" s="57" t="s">
        <v>273</v>
      </c>
      <c r="D10" s="9">
        <v>998591</v>
      </c>
      <c r="E10" s="9">
        <f>IFERROR(D10/C10,0)</f>
        <v>13314.546666666667</v>
      </c>
      <c r="F10" s="9">
        <v>0</v>
      </c>
      <c r="G10" s="9">
        <v>0</v>
      </c>
      <c r="H10" s="14" t="s">
        <v>3</v>
      </c>
      <c r="I10" s="1"/>
    </row>
    <row r="11" spans="1:9" x14ac:dyDescent="0.25">
      <c r="A11" s="1"/>
      <c r="B11" s="56" t="s">
        <v>274</v>
      </c>
      <c r="C11" s="57" t="s">
        <v>273</v>
      </c>
      <c r="D11" s="9">
        <v>2308620</v>
      </c>
      <c r="E11" s="9">
        <f t="shared" ref="E11:E74" si="0">IFERROR(D11/C11,0)</f>
        <v>30781.599999999999</v>
      </c>
      <c r="F11" s="9">
        <v>0</v>
      </c>
      <c r="G11" s="9">
        <v>0</v>
      </c>
      <c r="H11" s="14" t="s">
        <v>3</v>
      </c>
      <c r="I11" s="1"/>
    </row>
    <row r="12" spans="1:9" ht="26.25" x14ac:dyDescent="0.25">
      <c r="A12" s="1"/>
      <c r="B12" s="56" t="s">
        <v>275</v>
      </c>
      <c r="C12" s="57" t="s">
        <v>273</v>
      </c>
      <c r="D12" s="9">
        <v>3480225</v>
      </c>
      <c r="E12" s="9">
        <f t="shared" si="0"/>
        <v>46403</v>
      </c>
      <c r="F12" s="9">
        <v>0</v>
      </c>
      <c r="G12" s="9">
        <v>0</v>
      </c>
      <c r="H12" s="14" t="s">
        <v>3</v>
      </c>
      <c r="I12" s="1"/>
    </row>
    <row r="13" spans="1:9" ht="26.25" x14ac:dyDescent="0.25">
      <c r="A13" s="1"/>
      <c r="B13" s="56" t="s">
        <v>276</v>
      </c>
      <c r="C13" s="57" t="s">
        <v>273</v>
      </c>
      <c r="D13" s="9">
        <v>2909545</v>
      </c>
      <c r="E13" s="9">
        <f t="shared" si="0"/>
        <v>38793.933333333334</v>
      </c>
      <c r="F13" s="9">
        <v>0</v>
      </c>
      <c r="G13" s="9">
        <v>0</v>
      </c>
      <c r="H13" s="14" t="s">
        <v>3</v>
      </c>
      <c r="I13" s="1"/>
    </row>
    <row r="14" spans="1:9" x14ac:dyDescent="0.25">
      <c r="A14" s="1"/>
      <c r="B14" s="56" t="s">
        <v>272</v>
      </c>
      <c r="C14" s="57" t="s">
        <v>273</v>
      </c>
      <c r="D14" s="9">
        <v>1851515</v>
      </c>
      <c r="E14" s="9">
        <f t="shared" si="0"/>
        <v>24686.866666666665</v>
      </c>
      <c r="F14" s="9">
        <v>0</v>
      </c>
      <c r="G14" s="9">
        <v>0</v>
      </c>
      <c r="H14" s="14" t="s">
        <v>3</v>
      </c>
      <c r="I14" s="1"/>
    </row>
    <row r="15" spans="1:9" x14ac:dyDescent="0.25">
      <c r="A15" s="1"/>
      <c r="B15" s="56" t="s">
        <v>277</v>
      </c>
      <c r="C15" s="57" t="s">
        <v>273</v>
      </c>
      <c r="D15" s="9">
        <v>188162</v>
      </c>
      <c r="E15" s="9">
        <f t="shared" si="0"/>
        <v>2508.8266666666668</v>
      </c>
      <c r="F15" s="9">
        <v>0</v>
      </c>
      <c r="G15" s="9">
        <v>0</v>
      </c>
      <c r="H15" s="14" t="s">
        <v>3</v>
      </c>
      <c r="I15" s="1"/>
    </row>
    <row r="16" spans="1:9" x14ac:dyDescent="0.25">
      <c r="A16" s="1"/>
      <c r="B16" s="56" t="s">
        <v>278</v>
      </c>
      <c r="C16" s="57" t="s">
        <v>279</v>
      </c>
      <c r="D16" s="9">
        <v>6137846</v>
      </c>
      <c r="E16" s="9">
        <f t="shared" si="0"/>
        <v>122756.92</v>
      </c>
      <c r="F16" s="9">
        <v>0</v>
      </c>
      <c r="G16" s="9">
        <v>376166</v>
      </c>
      <c r="H16" s="14" t="s">
        <v>3</v>
      </c>
      <c r="I16" s="1"/>
    </row>
    <row r="17" spans="1:9" ht="26.25" x14ac:dyDescent="0.25">
      <c r="A17" s="1"/>
      <c r="B17" s="56" t="s">
        <v>280</v>
      </c>
      <c r="C17" s="57" t="s">
        <v>281</v>
      </c>
      <c r="D17" s="9">
        <v>1299357</v>
      </c>
      <c r="E17" s="9">
        <f t="shared" si="0"/>
        <v>21655.95</v>
      </c>
      <c r="F17" s="9">
        <v>0</v>
      </c>
      <c r="G17" s="9">
        <v>0</v>
      </c>
      <c r="H17" s="14" t="s">
        <v>3</v>
      </c>
      <c r="I17" s="1"/>
    </row>
    <row r="18" spans="1:9" x14ac:dyDescent="0.25">
      <c r="A18" s="1"/>
      <c r="B18" s="56" t="s">
        <v>282</v>
      </c>
      <c r="C18" s="57" t="s">
        <v>283</v>
      </c>
      <c r="D18" s="9">
        <v>4656031</v>
      </c>
      <c r="E18" s="9">
        <f t="shared" si="0"/>
        <v>232801.55</v>
      </c>
      <c r="F18" s="9">
        <v>0</v>
      </c>
      <c r="G18" s="9">
        <v>0</v>
      </c>
      <c r="H18" s="14" t="s">
        <v>3</v>
      </c>
      <c r="I18" s="1"/>
    </row>
    <row r="19" spans="1:9" x14ac:dyDescent="0.25">
      <c r="A19" s="1"/>
      <c r="B19" s="56" t="s">
        <v>284</v>
      </c>
      <c r="C19" s="57" t="s">
        <v>283</v>
      </c>
      <c r="D19" s="9">
        <v>4222912</v>
      </c>
      <c r="E19" s="9">
        <f t="shared" si="0"/>
        <v>211145.60000000001</v>
      </c>
      <c r="F19" s="9">
        <v>0</v>
      </c>
      <c r="G19" s="9">
        <v>0</v>
      </c>
      <c r="H19" s="14" t="s">
        <v>3</v>
      </c>
      <c r="I19" s="1"/>
    </row>
    <row r="20" spans="1:9" x14ac:dyDescent="0.25">
      <c r="A20" s="1"/>
      <c r="B20" s="56" t="s">
        <v>285</v>
      </c>
      <c r="C20" s="57" t="s">
        <v>286</v>
      </c>
      <c r="D20" s="9">
        <v>216560</v>
      </c>
      <c r="E20" s="9">
        <f t="shared" si="0"/>
        <v>21656</v>
      </c>
      <c r="F20" s="9">
        <v>0</v>
      </c>
      <c r="G20" s="9">
        <v>0</v>
      </c>
      <c r="H20" s="14" t="s">
        <v>3</v>
      </c>
      <c r="I20" s="1"/>
    </row>
    <row r="21" spans="1:9" x14ac:dyDescent="0.25">
      <c r="A21" s="1"/>
      <c r="B21" s="56" t="s">
        <v>287</v>
      </c>
      <c r="C21" s="57" t="s">
        <v>286</v>
      </c>
      <c r="D21" s="9">
        <v>433119</v>
      </c>
      <c r="E21" s="9">
        <f t="shared" si="0"/>
        <v>43311.9</v>
      </c>
      <c r="F21" s="9">
        <v>0</v>
      </c>
      <c r="G21" s="9">
        <v>498087</v>
      </c>
      <c r="H21" s="14" t="s">
        <v>3</v>
      </c>
      <c r="I21" s="1"/>
    </row>
    <row r="22" spans="1:9" x14ac:dyDescent="0.25">
      <c r="A22" s="1"/>
      <c r="B22" s="56" t="s">
        <v>272</v>
      </c>
      <c r="C22" s="57" t="s">
        <v>273</v>
      </c>
      <c r="D22" s="9">
        <v>1785696</v>
      </c>
      <c r="E22" s="9">
        <f t="shared" si="0"/>
        <v>23809.279999999999</v>
      </c>
      <c r="F22" s="9">
        <v>0</v>
      </c>
      <c r="G22" s="9">
        <v>0</v>
      </c>
      <c r="H22" s="14" t="s">
        <v>3</v>
      </c>
      <c r="I22" s="1"/>
    </row>
    <row r="23" spans="1:9" x14ac:dyDescent="0.25">
      <c r="A23" s="1"/>
      <c r="B23" s="56" t="s">
        <v>274</v>
      </c>
      <c r="C23" s="57" t="s">
        <v>273</v>
      </c>
      <c r="D23" s="9">
        <v>5293957</v>
      </c>
      <c r="E23" s="9">
        <f t="shared" si="0"/>
        <v>70586.093333333338</v>
      </c>
      <c r="F23" s="9">
        <v>0</v>
      </c>
      <c r="G23" s="9">
        <v>0</v>
      </c>
      <c r="H23" s="14" t="s">
        <v>3</v>
      </c>
      <c r="I23" s="1"/>
    </row>
    <row r="24" spans="1:9" ht="26.25" x14ac:dyDescent="0.25">
      <c r="A24" s="1"/>
      <c r="B24" s="56" t="s">
        <v>275</v>
      </c>
      <c r="C24" s="57" t="s">
        <v>273</v>
      </c>
      <c r="D24" s="9">
        <v>10982372</v>
      </c>
      <c r="E24" s="9">
        <f t="shared" si="0"/>
        <v>146431.62666666668</v>
      </c>
      <c r="F24" s="9">
        <v>0</v>
      </c>
      <c r="G24" s="9">
        <v>830853</v>
      </c>
      <c r="H24" s="14" t="s">
        <v>3</v>
      </c>
      <c r="I24" s="1"/>
    </row>
    <row r="25" spans="1:9" x14ac:dyDescent="0.25">
      <c r="A25" s="1"/>
      <c r="B25" s="56" t="s">
        <v>272</v>
      </c>
      <c r="C25" s="57" t="s">
        <v>273</v>
      </c>
      <c r="D25" s="9">
        <v>10825749</v>
      </c>
      <c r="E25" s="9">
        <f t="shared" si="0"/>
        <v>144343.32</v>
      </c>
      <c r="F25" s="9">
        <v>0</v>
      </c>
      <c r="G25" s="9">
        <v>0</v>
      </c>
      <c r="H25" s="14" t="s">
        <v>3</v>
      </c>
      <c r="I25" s="1"/>
    </row>
    <row r="26" spans="1:9" x14ac:dyDescent="0.25">
      <c r="A26" s="1"/>
      <c r="B26" s="56" t="s">
        <v>274</v>
      </c>
      <c r="C26" s="57" t="s">
        <v>273</v>
      </c>
      <c r="D26" s="9">
        <v>11752692</v>
      </c>
      <c r="E26" s="9">
        <f t="shared" si="0"/>
        <v>156702.56</v>
      </c>
      <c r="F26" s="9">
        <v>0</v>
      </c>
      <c r="G26" s="9">
        <v>0</v>
      </c>
      <c r="H26" s="14" t="s">
        <v>3</v>
      </c>
      <c r="I26" s="1"/>
    </row>
    <row r="27" spans="1:9" ht="26.25" x14ac:dyDescent="0.25">
      <c r="A27" s="1"/>
      <c r="B27" s="56" t="s">
        <v>288</v>
      </c>
      <c r="C27" s="57" t="s">
        <v>273</v>
      </c>
      <c r="D27" s="9">
        <v>1047225</v>
      </c>
      <c r="E27" s="9">
        <f t="shared" si="0"/>
        <v>13963</v>
      </c>
      <c r="F27" s="9">
        <v>0</v>
      </c>
      <c r="G27" s="9">
        <v>0</v>
      </c>
      <c r="H27" s="14" t="s">
        <v>3</v>
      </c>
      <c r="I27" s="1"/>
    </row>
    <row r="28" spans="1:9" ht="26.25" x14ac:dyDescent="0.25">
      <c r="A28" s="1"/>
      <c r="B28" s="56" t="s">
        <v>275</v>
      </c>
      <c r="C28" s="57" t="s">
        <v>273</v>
      </c>
      <c r="D28" s="9">
        <v>17996455</v>
      </c>
      <c r="E28" s="9">
        <f t="shared" si="0"/>
        <v>239952.73333333334</v>
      </c>
      <c r="F28" s="9">
        <v>0</v>
      </c>
      <c r="G28" s="9">
        <v>0</v>
      </c>
      <c r="H28" s="14" t="s">
        <v>3</v>
      </c>
      <c r="I28" s="1"/>
    </row>
    <row r="29" spans="1:9" ht="26.25" x14ac:dyDescent="0.25">
      <c r="A29" s="1"/>
      <c r="B29" s="56" t="s">
        <v>289</v>
      </c>
      <c r="C29" s="57" t="s">
        <v>273</v>
      </c>
      <c r="D29" s="9">
        <v>9172330</v>
      </c>
      <c r="E29" s="9">
        <f t="shared" si="0"/>
        <v>122297.73333333334</v>
      </c>
      <c r="F29" s="9">
        <v>0</v>
      </c>
      <c r="G29" s="9">
        <v>0</v>
      </c>
      <c r="H29" s="14" t="s">
        <v>3</v>
      </c>
      <c r="I29" s="1"/>
    </row>
    <row r="30" spans="1:9" ht="26.25" x14ac:dyDescent="0.25">
      <c r="A30" s="1"/>
      <c r="B30" s="56" t="s">
        <v>276</v>
      </c>
      <c r="C30" s="57" t="s">
        <v>273</v>
      </c>
      <c r="D30" s="9">
        <v>5855171</v>
      </c>
      <c r="E30" s="9">
        <f t="shared" si="0"/>
        <v>78068.94666666667</v>
      </c>
      <c r="F30" s="9">
        <v>0</v>
      </c>
      <c r="G30" s="9">
        <v>2779326</v>
      </c>
      <c r="H30" s="14" t="s">
        <v>3</v>
      </c>
      <c r="I30" s="1"/>
    </row>
    <row r="31" spans="1:9" x14ac:dyDescent="0.25">
      <c r="A31" s="1"/>
      <c r="B31" s="56" t="s">
        <v>272</v>
      </c>
      <c r="C31" s="57" t="s">
        <v>273</v>
      </c>
      <c r="D31" s="9">
        <v>374399</v>
      </c>
      <c r="E31" s="9">
        <f t="shared" si="0"/>
        <v>4991.9866666666667</v>
      </c>
      <c r="F31" s="9">
        <v>0</v>
      </c>
      <c r="G31" s="9">
        <v>0</v>
      </c>
      <c r="H31" s="14" t="s">
        <v>3</v>
      </c>
      <c r="I31" s="1"/>
    </row>
    <row r="32" spans="1:9" x14ac:dyDescent="0.25">
      <c r="A32" s="1"/>
      <c r="B32" s="56" t="s">
        <v>274</v>
      </c>
      <c r="C32" s="57" t="s">
        <v>273</v>
      </c>
      <c r="D32" s="9">
        <v>1483700</v>
      </c>
      <c r="E32" s="9">
        <f t="shared" si="0"/>
        <v>19782.666666666668</v>
      </c>
      <c r="F32" s="9">
        <v>0</v>
      </c>
      <c r="G32" s="9">
        <v>0</v>
      </c>
      <c r="H32" s="14" t="s">
        <v>3</v>
      </c>
      <c r="I32" s="1"/>
    </row>
    <row r="33" spans="1:9" ht="26.25" x14ac:dyDescent="0.25">
      <c r="A33" s="1"/>
      <c r="B33" s="56" t="s">
        <v>275</v>
      </c>
      <c r="C33" s="57" t="s">
        <v>273</v>
      </c>
      <c r="D33" s="9">
        <v>678905</v>
      </c>
      <c r="E33" s="9">
        <f t="shared" si="0"/>
        <v>9052.0666666666675</v>
      </c>
      <c r="F33" s="9">
        <v>0</v>
      </c>
      <c r="G33" s="9">
        <v>0</v>
      </c>
      <c r="H33" s="14" t="s">
        <v>3</v>
      </c>
      <c r="I33" s="1"/>
    </row>
    <row r="34" spans="1:9" ht="26.25" x14ac:dyDescent="0.25">
      <c r="A34" s="1"/>
      <c r="B34" s="56" t="s">
        <v>289</v>
      </c>
      <c r="C34" s="57" t="s">
        <v>273</v>
      </c>
      <c r="D34" s="9">
        <v>1297634</v>
      </c>
      <c r="E34" s="9">
        <f t="shared" si="0"/>
        <v>17301.786666666667</v>
      </c>
      <c r="F34" s="9">
        <v>0</v>
      </c>
      <c r="G34" s="9">
        <v>0</v>
      </c>
      <c r="H34" s="14" t="s">
        <v>3</v>
      </c>
      <c r="I34" s="1"/>
    </row>
    <row r="35" spans="1:9" ht="26.25" x14ac:dyDescent="0.25">
      <c r="A35" s="1"/>
      <c r="B35" s="56" t="s">
        <v>290</v>
      </c>
      <c r="C35" s="57" t="s">
        <v>279</v>
      </c>
      <c r="D35" s="9">
        <v>796799</v>
      </c>
      <c r="E35" s="9">
        <f t="shared" si="0"/>
        <v>15935.98</v>
      </c>
      <c r="F35" s="9">
        <v>0</v>
      </c>
      <c r="G35" s="9">
        <v>0</v>
      </c>
      <c r="H35" s="14" t="s">
        <v>3</v>
      </c>
      <c r="I35" s="1"/>
    </row>
    <row r="36" spans="1:9" ht="26.25" x14ac:dyDescent="0.25">
      <c r="A36" s="1"/>
      <c r="B36" s="56" t="s">
        <v>291</v>
      </c>
      <c r="C36" s="57" t="s">
        <v>283</v>
      </c>
      <c r="D36" s="9">
        <v>383999</v>
      </c>
      <c r="E36" s="9">
        <f t="shared" si="0"/>
        <v>19199.95</v>
      </c>
      <c r="F36" s="9">
        <v>0</v>
      </c>
      <c r="G36" s="9">
        <v>0</v>
      </c>
      <c r="H36" s="14" t="s">
        <v>3</v>
      </c>
      <c r="I36" s="1"/>
    </row>
    <row r="37" spans="1:9" ht="26.25" x14ac:dyDescent="0.25">
      <c r="A37" s="1"/>
      <c r="B37" s="56" t="s">
        <v>292</v>
      </c>
      <c r="C37" s="57" t="s">
        <v>286</v>
      </c>
      <c r="D37" s="9">
        <v>48000</v>
      </c>
      <c r="E37" s="9">
        <f t="shared" si="0"/>
        <v>4800</v>
      </c>
      <c r="F37" s="9">
        <v>0</v>
      </c>
      <c r="G37" s="9">
        <v>232918</v>
      </c>
      <c r="H37" s="14" t="s">
        <v>3</v>
      </c>
      <c r="I37" s="1"/>
    </row>
    <row r="38" spans="1:9" x14ac:dyDescent="0.25">
      <c r="A38" s="1"/>
      <c r="B38" s="56" t="s">
        <v>272</v>
      </c>
      <c r="C38" s="57" t="s">
        <v>273</v>
      </c>
      <c r="D38" s="9">
        <v>310913</v>
      </c>
      <c r="E38" s="9">
        <f t="shared" si="0"/>
        <v>4145.5066666666671</v>
      </c>
      <c r="F38" s="9">
        <v>0</v>
      </c>
      <c r="G38" s="9">
        <v>0</v>
      </c>
      <c r="H38" s="14" t="s">
        <v>3</v>
      </c>
      <c r="I38" s="1"/>
    </row>
    <row r="39" spans="1:9" x14ac:dyDescent="0.25">
      <c r="A39" s="1"/>
      <c r="B39" s="56" t="s">
        <v>274</v>
      </c>
      <c r="C39" s="57" t="s">
        <v>273</v>
      </c>
      <c r="D39" s="9">
        <v>1649797</v>
      </c>
      <c r="E39" s="9">
        <f t="shared" si="0"/>
        <v>21997.293333333335</v>
      </c>
      <c r="F39" s="9">
        <v>0</v>
      </c>
      <c r="G39" s="9">
        <v>0</v>
      </c>
      <c r="H39" s="14" t="s">
        <v>3</v>
      </c>
      <c r="I39" s="1"/>
    </row>
    <row r="40" spans="1:9" ht="26.25" x14ac:dyDescent="0.25">
      <c r="A40" s="1"/>
      <c r="B40" s="56" t="s">
        <v>275</v>
      </c>
      <c r="C40" s="57" t="s">
        <v>273</v>
      </c>
      <c r="D40" s="9">
        <v>1064767</v>
      </c>
      <c r="E40" s="9">
        <f t="shared" si="0"/>
        <v>14196.893333333333</v>
      </c>
      <c r="F40" s="9">
        <v>0</v>
      </c>
      <c r="G40" s="9">
        <v>0</v>
      </c>
      <c r="H40" s="14" t="s">
        <v>3</v>
      </c>
      <c r="I40" s="1"/>
    </row>
    <row r="41" spans="1:9" ht="26.25" x14ac:dyDescent="0.25">
      <c r="A41" s="1"/>
      <c r="B41" s="56" t="s">
        <v>289</v>
      </c>
      <c r="C41" s="57" t="s">
        <v>273</v>
      </c>
      <c r="D41" s="9">
        <v>929261</v>
      </c>
      <c r="E41" s="9">
        <f t="shared" si="0"/>
        <v>12390.146666666667</v>
      </c>
      <c r="F41" s="9">
        <v>0</v>
      </c>
      <c r="G41" s="9">
        <v>0</v>
      </c>
      <c r="H41" s="14" t="s">
        <v>3</v>
      </c>
      <c r="I41" s="1"/>
    </row>
    <row r="42" spans="1:9" x14ac:dyDescent="0.25">
      <c r="A42" s="1"/>
      <c r="B42" s="56" t="s">
        <v>272</v>
      </c>
      <c r="C42" s="57" t="s">
        <v>273</v>
      </c>
      <c r="D42" s="9">
        <v>4316305</v>
      </c>
      <c r="E42" s="9">
        <f t="shared" si="0"/>
        <v>57550.73333333333</v>
      </c>
      <c r="F42" s="9">
        <v>0</v>
      </c>
      <c r="G42" s="9">
        <v>0</v>
      </c>
      <c r="H42" s="14" t="s">
        <v>3</v>
      </c>
      <c r="I42" s="1"/>
    </row>
    <row r="43" spans="1:9" x14ac:dyDescent="0.25">
      <c r="A43" s="1"/>
      <c r="B43" s="56" t="s">
        <v>274</v>
      </c>
      <c r="C43" s="57" t="s">
        <v>273</v>
      </c>
      <c r="D43" s="9">
        <v>11022527</v>
      </c>
      <c r="E43" s="9">
        <f t="shared" si="0"/>
        <v>146967.02666666667</v>
      </c>
      <c r="F43" s="9">
        <v>0</v>
      </c>
      <c r="G43" s="9">
        <v>0</v>
      </c>
      <c r="H43" s="14" t="s">
        <v>3</v>
      </c>
      <c r="I43" s="1"/>
    </row>
    <row r="44" spans="1:9" ht="26.25" x14ac:dyDescent="0.25">
      <c r="A44" s="1"/>
      <c r="B44" s="56" t="s">
        <v>288</v>
      </c>
      <c r="C44" s="57" t="s">
        <v>273</v>
      </c>
      <c r="D44" s="9">
        <v>3288838</v>
      </c>
      <c r="E44" s="9">
        <f t="shared" si="0"/>
        <v>43851.173333333332</v>
      </c>
      <c r="F44" s="9">
        <v>0</v>
      </c>
      <c r="G44" s="9">
        <v>0</v>
      </c>
      <c r="H44" s="14" t="s">
        <v>3</v>
      </c>
      <c r="I44" s="1"/>
    </row>
    <row r="45" spans="1:9" ht="26.25" x14ac:dyDescent="0.25">
      <c r="A45" s="1"/>
      <c r="B45" s="56" t="s">
        <v>293</v>
      </c>
      <c r="C45" s="57" t="s">
        <v>273</v>
      </c>
      <c r="D45" s="9">
        <v>13377902</v>
      </c>
      <c r="E45" s="9">
        <f t="shared" si="0"/>
        <v>178372.02666666667</v>
      </c>
      <c r="F45" s="9">
        <v>0</v>
      </c>
      <c r="G45" s="9">
        <v>0</v>
      </c>
      <c r="H45" s="14" t="s">
        <v>3</v>
      </c>
      <c r="I45" s="1"/>
    </row>
    <row r="46" spans="1:9" ht="26.25" x14ac:dyDescent="0.25">
      <c r="A46" s="1"/>
      <c r="B46" s="56" t="s">
        <v>275</v>
      </c>
      <c r="C46" s="57" t="s">
        <v>273</v>
      </c>
      <c r="D46" s="9">
        <v>14472775</v>
      </c>
      <c r="E46" s="9">
        <f t="shared" si="0"/>
        <v>192970.33333333334</v>
      </c>
      <c r="F46" s="9">
        <v>0</v>
      </c>
      <c r="G46" s="9">
        <v>0</v>
      </c>
      <c r="H46" s="14" t="s">
        <v>3</v>
      </c>
      <c r="I46" s="1"/>
    </row>
    <row r="47" spans="1:9" ht="26.25" x14ac:dyDescent="0.25">
      <c r="A47" s="1"/>
      <c r="B47" s="56" t="s">
        <v>289</v>
      </c>
      <c r="C47" s="57" t="s">
        <v>273</v>
      </c>
      <c r="D47" s="9">
        <v>5993334</v>
      </c>
      <c r="E47" s="9">
        <f t="shared" si="0"/>
        <v>79911.12</v>
      </c>
      <c r="F47" s="9">
        <v>0</v>
      </c>
      <c r="G47" s="9">
        <v>0</v>
      </c>
      <c r="H47" s="14" t="s">
        <v>3</v>
      </c>
      <c r="I47" s="1"/>
    </row>
    <row r="48" spans="1:9" ht="26.25" x14ac:dyDescent="0.25">
      <c r="A48" s="1"/>
      <c r="B48" s="56" t="s">
        <v>276</v>
      </c>
      <c r="C48" s="57" t="s">
        <v>273</v>
      </c>
      <c r="D48" s="9">
        <v>867162</v>
      </c>
      <c r="E48" s="9">
        <f t="shared" si="0"/>
        <v>11562.16</v>
      </c>
      <c r="F48" s="9">
        <v>0</v>
      </c>
      <c r="G48" s="9">
        <v>2453587</v>
      </c>
      <c r="H48" s="14" t="s">
        <v>3</v>
      </c>
      <c r="I48" s="1"/>
    </row>
    <row r="49" spans="1:9" x14ac:dyDescent="0.25">
      <c r="A49" s="1"/>
      <c r="B49" s="56" t="s">
        <v>272</v>
      </c>
      <c r="C49" s="57" t="s">
        <v>273</v>
      </c>
      <c r="D49" s="9">
        <v>3533956</v>
      </c>
      <c r="E49" s="9">
        <f t="shared" si="0"/>
        <v>47119.41333333333</v>
      </c>
      <c r="F49" s="9">
        <v>0</v>
      </c>
      <c r="G49" s="9">
        <v>0</v>
      </c>
      <c r="H49" s="14" t="s">
        <v>3</v>
      </c>
      <c r="I49" s="1"/>
    </row>
    <row r="50" spans="1:9" x14ac:dyDescent="0.25">
      <c r="A50" s="1"/>
      <c r="B50" s="56" t="s">
        <v>274</v>
      </c>
      <c r="C50" s="57" t="s">
        <v>273</v>
      </c>
      <c r="D50" s="9">
        <v>7343082</v>
      </c>
      <c r="E50" s="9">
        <f t="shared" si="0"/>
        <v>97907.76</v>
      </c>
      <c r="F50" s="9">
        <v>0</v>
      </c>
      <c r="G50" s="9">
        <v>0</v>
      </c>
      <c r="H50" s="14" t="s">
        <v>3</v>
      </c>
      <c r="I50" s="1"/>
    </row>
    <row r="51" spans="1:9" ht="26.25" x14ac:dyDescent="0.25">
      <c r="A51" s="1"/>
      <c r="B51" s="56" t="s">
        <v>275</v>
      </c>
      <c r="C51" s="57" t="s">
        <v>273</v>
      </c>
      <c r="D51" s="9">
        <v>9060545</v>
      </c>
      <c r="E51" s="9">
        <f t="shared" si="0"/>
        <v>120807.26666666666</v>
      </c>
      <c r="F51" s="9">
        <v>0</v>
      </c>
      <c r="G51" s="9">
        <v>0</v>
      </c>
      <c r="H51" s="14" t="s">
        <v>3</v>
      </c>
      <c r="I51" s="1"/>
    </row>
    <row r="52" spans="1:9" ht="26.25" x14ac:dyDescent="0.25">
      <c r="A52" s="1"/>
      <c r="B52" s="56" t="s">
        <v>289</v>
      </c>
      <c r="C52" s="57" t="s">
        <v>273</v>
      </c>
      <c r="D52" s="9">
        <v>5414373</v>
      </c>
      <c r="E52" s="9">
        <f t="shared" si="0"/>
        <v>72191.64</v>
      </c>
      <c r="F52" s="9">
        <v>0</v>
      </c>
      <c r="G52" s="9">
        <v>0</v>
      </c>
      <c r="H52" s="14" t="s">
        <v>3</v>
      </c>
      <c r="I52" s="1"/>
    </row>
    <row r="53" spans="1:9" ht="26.25" x14ac:dyDescent="0.25">
      <c r="A53" s="1"/>
      <c r="B53" s="56" t="s">
        <v>276</v>
      </c>
      <c r="C53" s="57" t="s">
        <v>273</v>
      </c>
      <c r="D53" s="9">
        <v>1569139</v>
      </c>
      <c r="E53" s="9">
        <f t="shared" si="0"/>
        <v>20921.853333333333</v>
      </c>
      <c r="F53" s="9">
        <v>0</v>
      </c>
      <c r="G53" s="9">
        <v>1238370</v>
      </c>
      <c r="H53" s="14" t="s">
        <v>3</v>
      </c>
      <c r="I53" s="1"/>
    </row>
    <row r="54" spans="1:9" x14ac:dyDescent="0.25">
      <c r="A54" s="1"/>
      <c r="B54" s="56" t="s">
        <v>272</v>
      </c>
      <c r="C54" s="57" t="s">
        <v>273</v>
      </c>
      <c r="D54" s="9">
        <v>1682337</v>
      </c>
      <c r="E54" s="9">
        <f t="shared" si="0"/>
        <v>22431.16</v>
      </c>
      <c r="F54" s="9">
        <v>0</v>
      </c>
      <c r="G54" s="9">
        <v>0</v>
      </c>
      <c r="H54" s="14" t="s">
        <v>3</v>
      </c>
      <c r="I54" s="1"/>
    </row>
    <row r="55" spans="1:9" x14ac:dyDescent="0.25">
      <c r="A55" s="1"/>
      <c r="B55" s="56" t="s">
        <v>274</v>
      </c>
      <c r="C55" s="57" t="s">
        <v>273</v>
      </c>
      <c r="D55" s="9">
        <v>3526298</v>
      </c>
      <c r="E55" s="9">
        <f t="shared" si="0"/>
        <v>47017.306666666664</v>
      </c>
      <c r="F55" s="9">
        <v>0</v>
      </c>
      <c r="G55" s="9">
        <v>0</v>
      </c>
      <c r="H55" s="14" t="s">
        <v>3</v>
      </c>
      <c r="I55" s="1"/>
    </row>
    <row r="56" spans="1:9" ht="26.25" x14ac:dyDescent="0.25">
      <c r="A56" s="1"/>
      <c r="B56" s="56" t="s">
        <v>275</v>
      </c>
      <c r="C56" s="57" t="s">
        <v>273</v>
      </c>
      <c r="D56" s="9">
        <v>7313291</v>
      </c>
      <c r="E56" s="9">
        <f t="shared" si="0"/>
        <v>97510.546666666662</v>
      </c>
      <c r="F56" s="9">
        <v>0</v>
      </c>
      <c r="G56" s="9">
        <v>0</v>
      </c>
      <c r="H56" s="14" t="s">
        <v>3</v>
      </c>
      <c r="I56" s="1"/>
    </row>
    <row r="57" spans="1:9" ht="26.25" x14ac:dyDescent="0.25">
      <c r="A57" s="1"/>
      <c r="B57" s="56" t="s">
        <v>289</v>
      </c>
      <c r="C57" s="57" t="s">
        <v>273</v>
      </c>
      <c r="D57" s="9">
        <v>5489775</v>
      </c>
      <c r="E57" s="9">
        <f t="shared" si="0"/>
        <v>73197</v>
      </c>
      <c r="F57" s="9">
        <v>0</v>
      </c>
      <c r="G57" s="9">
        <v>0</v>
      </c>
      <c r="H57" s="14" t="s">
        <v>3</v>
      </c>
      <c r="I57" s="1"/>
    </row>
    <row r="58" spans="1:9" ht="26.25" x14ac:dyDescent="0.25">
      <c r="A58" s="1"/>
      <c r="B58" s="56" t="s">
        <v>276</v>
      </c>
      <c r="C58" s="57" t="s">
        <v>273</v>
      </c>
      <c r="D58" s="9">
        <v>2857883</v>
      </c>
      <c r="E58" s="9">
        <f t="shared" si="0"/>
        <v>38105.106666666667</v>
      </c>
      <c r="F58" s="9">
        <v>0</v>
      </c>
      <c r="G58" s="9">
        <v>0</v>
      </c>
      <c r="H58" s="14" t="s">
        <v>3</v>
      </c>
      <c r="I58" s="1"/>
    </row>
    <row r="59" spans="1:9" x14ac:dyDescent="0.25">
      <c r="A59" s="1"/>
      <c r="B59" s="56" t="s">
        <v>294</v>
      </c>
      <c r="C59" s="57" t="s">
        <v>273</v>
      </c>
      <c r="D59" s="9">
        <v>793119</v>
      </c>
      <c r="E59" s="9">
        <f t="shared" si="0"/>
        <v>10574.92</v>
      </c>
      <c r="F59" s="9">
        <v>0</v>
      </c>
      <c r="G59" s="9">
        <v>0</v>
      </c>
      <c r="H59" s="14" t="s">
        <v>3</v>
      </c>
      <c r="I59" s="1"/>
    </row>
    <row r="60" spans="1:9" ht="26.25" x14ac:dyDescent="0.25">
      <c r="A60" s="1"/>
      <c r="B60" s="56" t="s">
        <v>280</v>
      </c>
      <c r="C60" s="57" t="s">
        <v>281</v>
      </c>
      <c r="D60" s="9">
        <v>4093125</v>
      </c>
      <c r="E60" s="9">
        <f t="shared" si="0"/>
        <v>68218.75</v>
      </c>
      <c r="F60" s="9">
        <v>0</v>
      </c>
      <c r="G60" s="9">
        <v>0</v>
      </c>
      <c r="H60" s="14" t="s">
        <v>3</v>
      </c>
      <c r="I60" s="1"/>
    </row>
    <row r="61" spans="1:9" x14ac:dyDescent="0.25">
      <c r="A61" s="1"/>
      <c r="B61" s="56" t="s">
        <v>282</v>
      </c>
      <c r="C61" s="57" t="s">
        <v>283</v>
      </c>
      <c r="D61" s="9">
        <v>8591501</v>
      </c>
      <c r="E61" s="9">
        <f t="shared" si="0"/>
        <v>429575.05</v>
      </c>
      <c r="F61" s="9">
        <v>0</v>
      </c>
      <c r="G61" s="9">
        <v>0</v>
      </c>
      <c r="H61" s="14" t="s">
        <v>3</v>
      </c>
      <c r="I61" s="1"/>
    </row>
    <row r="62" spans="1:9" x14ac:dyDescent="0.25">
      <c r="A62" s="1"/>
      <c r="B62" s="56" t="s">
        <v>284</v>
      </c>
      <c r="C62" s="57" t="s">
        <v>283</v>
      </c>
      <c r="D62" s="9">
        <v>5730376</v>
      </c>
      <c r="E62" s="9">
        <f t="shared" si="0"/>
        <v>286518.8</v>
      </c>
      <c r="F62" s="9">
        <v>0</v>
      </c>
      <c r="G62" s="9">
        <v>0</v>
      </c>
      <c r="H62" s="14" t="s">
        <v>3</v>
      </c>
      <c r="I62" s="1"/>
    </row>
    <row r="63" spans="1:9" x14ac:dyDescent="0.25">
      <c r="A63" s="1"/>
      <c r="B63" s="56" t="s">
        <v>295</v>
      </c>
      <c r="C63" s="57" t="s">
        <v>283</v>
      </c>
      <c r="D63" s="9">
        <v>5184626</v>
      </c>
      <c r="E63" s="9">
        <f t="shared" si="0"/>
        <v>259231.3</v>
      </c>
      <c r="F63" s="9">
        <v>0</v>
      </c>
      <c r="G63" s="9">
        <v>0</v>
      </c>
      <c r="H63" s="14" t="s">
        <v>3</v>
      </c>
      <c r="I63" s="1"/>
    </row>
    <row r="64" spans="1:9" x14ac:dyDescent="0.25">
      <c r="A64" s="1"/>
      <c r="B64" s="56" t="s">
        <v>296</v>
      </c>
      <c r="C64" s="57" t="s">
        <v>283</v>
      </c>
      <c r="D64" s="9">
        <v>2455875</v>
      </c>
      <c r="E64" s="9">
        <f t="shared" si="0"/>
        <v>122793.75</v>
      </c>
      <c r="F64" s="9">
        <v>0</v>
      </c>
      <c r="G64" s="9">
        <v>0</v>
      </c>
      <c r="H64" s="14" t="s">
        <v>3</v>
      </c>
      <c r="I64" s="1"/>
    </row>
    <row r="65" spans="1:9" x14ac:dyDescent="0.25">
      <c r="A65" s="1"/>
      <c r="B65" s="56" t="s">
        <v>285</v>
      </c>
      <c r="C65" s="57" t="s">
        <v>286</v>
      </c>
      <c r="D65" s="9">
        <v>422956</v>
      </c>
      <c r="E65" s="9">
        <f t="shared" si="0"/>
        <v>42295.6</v>
      </c>
      <c r="F65" s="9">
        <v>0</v>
      </c>
      <c r="G65" s="9">
        <v>0</v>
      </c>
      <c r="H65" s="14" t="s">
        <v>3</v>
      </c>
      <c r="I65" s="1"/>
    </row>
    <row r="66" spans="1:9" x14ac:dyDescent="0.25">
      <c r="A66" s="1"/>
      <c r="B66" s="56" t="s">
        <v>287</v>
      </c>
      <c r="C66" s="57" t="s">
        <v>286</v>
      </c>
      <c r="D66" s="9">
        <v>95506</v>
      </c>
      <c r="E66" s="9">
        <f t="shared" si="0"/>
        <v>9550.6</v>
      </c>
      <c r="F66" s="9">
        <v>0</v>
      </c>
      <c r="G66" s="9">
        <v>0</v>
      </c>
      <c r="H66" s="14" t="s">
        <v>3</v>
      </c>
      <c r="I66" s="1"/>
    </row>
    <row r="67" spans="1:9" x14ac:dyDescent="0.25">
      <c r="A67" s="1"/>
      <c r="B67" s="56" t="s">
        <v>297</v>
      </c>
      <c r="C67" s="57" t="s">
        <v>286</v>
      </c>
      <c r="D67" s="9">
        <v>654900</v>
      </c>
      <c r="E67" s="9">
        <f t="shared" si="0"/>
        <v>65490</v>
      </c>
      <c r="F67" s="9">
        <v>0</v>
      </c>
      <c r="G67" s="9">
        <v>0</v>
      </c>
      <c r="H67" s="14" t="s">
        <v>3</v>
      </c>
      <c r="I67" s="1"/>
    </row>
    <row r="68" spans="1:9" x14ac:dyDescent="0.25">
      <c r="A68" s="1"/>
      <c r="B68" s="56" t="s">
        <v>298</v>
      </c>
      <c r="C68" s="57" t="s">
        <v>286</v>
      </c>
      <c r="D68" s="9">
        <v>150081</v>
      </c>
      <c r="E68" s="9">
        <f t="shared" si="0"/>
        <v>15008.1</v>
      </c>
      <c r="F68" s="9">
        <v>0</v>
      </c>
      <c r="G68" s="9">
        <v>0</v>
      </c>
      <c r="H68" s="14" t="s">
        <v>3</v>
      </c>
      <c r="I68" s="1"/>
    </row>
    <row r="69" spans="1:9" x14ac:dyDescent="0.25">
      <c r="A69" s="1"/>
      <c r="B69" s="56" t="s">
        <v>272</v>
      </c>
      <c r="C69" s="57" t="s">
        <v>273</v>
      </c>
      <c r="D69" s="9">
        <v>356034</v>
      </c>
      <c r="E69" s="9">
        <f t="shared" si="0"/>
        <v>4747.12</v>
      </c>
      <c r="F69" s="9">
        <v>0</v>
      </c>
      <c r="G69" s="9">
        <v>0</v>
      </c>
      <c r="H69" s="14" t="s">
        <v>3</v>
      </c>
      <c r="I69" s="1"/>
    </row>
    <row r="70" spans="1:9" ht="26.25" x14ac:dyDescent="0.25">
      <c r="A70" s="1"/>
      <c r="B70" s="56" t="s">
        <v>288</v>
      </c>
      <c r="C70" s="57" t="s">
        <v>273</v>
      </c>
      <c r="D70" s="9">
        <v>2836570</v>
      </c>
      <c r="E70" s="9">
        <f t="shared" si="0"/>
        <v>37820.933333333334</v>
      </c>
      <c r="F70" s="9">
        <v>0</v>
      </c>
      <c r="G70" s="9">
        <v>0</v>
      </c>
      <c r="H70" s="14" t="s">
        <v>3</v>
      </c>
      <c r="I70" s="1"/>
    </row>
    <row r="71" spans="1:9" ht="26.25" x14ac:dyDescent="0.25">
      <c r="A71" s="1"/>
      <c r="B71" s="56" t="s">
        <v>275</v>
      </c>
      <c r="C71" s="57" t="s">
        <v>273</v>
      </c>
      <c r="D71" s="9">
        <v>1210309</v>
      </c>
      <c r="E71" s="9">
        <f t="shared" si="0"/>
        <v>16137.453333333333</v>
      </c>
      <c r="F71" s="9">
        <v>0</v>
      </c>
      <c r="G71" s="9">
        <v>0</v>
      </c>
      <c r="H71" s="14" t="s">
        <v>3</v>
      </c>
      <c r="I71" s="1"/>
    </row>
    <row r="72" spans="1:9" ht="26.25" x14ac:dyDescent="0.25">
      <c r="A72" s="1"/>
      <c r="B72" s="56" t="s">
        <v>289</v>
      </c>
      <c r="C72" s="57" t="s">
        <v>273</v>
      </c>
      <c r="D72" s="9">
        <v>650990</v>
      </c>
      <c r="E72" s="9">
        <f t="shared" si="0"/>
        <v>8679.8666666666668</v>
      </c>
      <c r="F72" s="9">
        <v>0</v>
      </c>
      <c r="G72" s="9">
        <v>0</v>
      </c>
      <c r="H72" s="14" t="s">
        <v>3</v>
      </c>
      <c r="I72" s="1"/>
    </row>
    <row r="73" spans="1:9" x14ac:dyDescent="0.25">
      <c r="A73" s="1"/>
      <c r="B73" s="56" t="s">
        <v>278</v>
      </c>
      <c r="C73" s="57" t="s">
        <v>279</v>
      </c>
      <c r="D73" s="9">
        <v>9365594</v>
      </c>
      <c r="E73" s="9">
        <f t="shared" si="0"/>
        <v>187311.88</v>
      </c>
      <c r="F73" s="9">
        <v>0</v>
      </c>
      <c r="G73" s="9">
        <v>0</v>
      </c>
      <c r="H73" s="14" t="s">
        <v>3</v>
      </c>
      <c r="I73" s="1"/>
    </row>
    <row r="74" spans="1:9" x14ac:dyDescent="0.25">
      <c r="A74" s="1"/>
      <c r="B74" s="56" t="s">
        <v>274</v>
      </c>
      <c r="C74" s="57" t="s">
        <v>273</v>
      </c>
      <c r="D74" s="9">
        <v>15154</v>
      </c>
      <c r="E74" s="9">
        <f t="shared" si="0"/>
        <v>202.05333333333334</v>
      </c>
      <c r="F74" s="9">
        <v>0</v>
      </c>
      <c r="G74" s="9">
        <v>0</v>
      </c>
      <c r="H74" s="14" t="s">
        <v>3</v>
      </c>
      <c r="I74" s="1"/>
    </row>
    <row r="75" spans="1:9" ht="26.25" x14ac:dyDescent="0.25">
      <c r="A75" s="1"/>
      <c r="B75" s="56" t="s">
        <v>276</v>
      </c>
      <c r="C75" s="57" t="s">
        <v>273</v>
      </c>
      <c r="D75" s="9">
        <v>166587</v>
      </c>
      <c r="E75" s="9">
        <f t="shared" ref="E75:E100" si="1">IFERROR(D75/C75,0)</f>
        <v>2221.16</v>
      </c>
      <c r="F75" s="9">
        <v>0</v>
      </c>
      <c r="G75" s="9">
        <v>0</v>
      </c>
      <c r="H75" s="14" t="s">
        <v>3</v>
      </c>
      <c r="I75" s="1"/>
    </row>
    <row r="76" spans="1:9" x14ac:dyDescent="0.25">
      <c r="A76" s="1"/>
      <c r="B76" s="56" t="s">
        <v>272</v>
      </c>
      <c r="C76" s="57" t="s">
        <v>273</v>
      </c>
      <c r="D76" s="9">
        <v>242828</v>
      </c>
      <c r="E76" s="9">
        <f t="shared" si="1"/>
        <v>3237.7066666666665</v>
      </c>
      <c r="F76" s="9">
        <v>0</v>
      </c>
      <c r="G76" s="9">
        <v>0</v>
      </c>
      <c r="H76" s="14" t="s">
        <v>3</v>
      </c>
      <c r="I76" s="1"/>
    </row>
    <row r="77" spans="1:9" x14ac:dyDescent="0.25">
      <c r="A77" s="1"/>
      <c r="B77" s="56" t="s">
        <v>274</v>
      </c>
      <c r="C77" s="57" t="s">
        <v>273</v>
      </c>
      <c r="D77" s="9">
        <v>368279</v>
      </c>
      <c r="E77" s="9">
        <f t="shared" si="1"/>
        <v>4910.3866666666663</v>
      </c>
      <c r="F77" s="9">
        <v>0</v>
      </c>
      <c r="G77" s="9">
        <v>0</v>
      </c>
      <c r="H77" s="14" t="s">
        <v>3</v>
      </c>
      <c r="I77" s="1"/>
    </row>
    <row r="78" spans="1:9" ht="26.25" x14ac:dyDescent="0.25">
      <c r="A78" s="1"/>
      <c r="B78" s="56" t="s">
        <v>275</v>
      </c>
      <c r="C78" s="57" t="s">
        <v>273</v>
      </c>
      <c r="D78" s="9">
        <v>861288</v>
      </c>
      <c r="E78" s="9">
        <f t="shared" si="1"/>
        <v>11483.84</v>
      </c>
      <c r="F78" s="9">
        <v>0</v>
      </c>
      <c r="G78" s="9">
        <v>0</v>
      </c>
      <c r="H78" s="14" t="s">
        <v>3</v>
      </c>
      <c r="I78" s="1"/>
    </row>
    <row r="79" spans="1:9" ht="26.25" x14ac:dyDescent="0.25">
      <c r="A79" s="1"/>
      <c r="B79" s="56" t="s">
        <v>289</v>
      </c>
      <c r="C79" s="57" t="s">
        <v>273</v>
      </c>
      <c r="D79" s="9">
        <v>1307996</v>
      </c>
      <c r="E79" s="9">
        <f t="shared" si="1"/>
        <v>17439.946666666667</v>
      </c>
      <c r="F79" s="9">
        <v>0</v>
      </c>
      <c r="G79" s="9">
        <v>0</v>
      </c>
      <c r="H79" s="14" t="s">
        <v>3</v>
      </c>
      <c r="I79" s="1"/>
    </row>
    <row r="80" spans="1:9" ht="26.25" x14ac:dyDescent="0.25">
      <c r="A80" s="1"/>
      <c r="B80" s="56" t="s">
        <v>299</v>
      </c>
      <c r="C80" s="57" t="s">
        <v>279</v>
      </c>
      <c r="D80" s="9">
        <v>2171424</v>
      </c>
      <c r="E80" s="9">
        <f t="shared" si="1"/>
        <v>43428.480000000003</v>
      </c>
      <c r="F80" s="9">
        <v>0</v>
      </c>
      <c r="G80" s="9">
        <v>0</v>
      </c>
      <c r="H80" s="14" t="s">
        <v>3</v>
      </c>
      <c r="I80" s="1"/>
    </row>
    <row r="81" spans="1:9" x14ac:dyDescent="0.25">
      <c r="A81" s="1"/>
      <c r="B81" s="56" t="s">
        <v>272</v>
      </c>
      <c r="C81" s="57" t="s">
        <v>273</v>
      </c>
      <c r="D81" s="9">
        <v>1080417</v>
      </c>
      <c r="E81" s="9">
        <f t="shared" si="1"/>
        <v>14405.56</v>
      </c>
      <c r="F81" s="9">
        <v>0</v>
      </c>
      <c r="G81" s="9">
        <v>0</v>
      </c>
      <c r="H81" s="14" t="s">
        <v>3</v>
      </c>
      <c r="I81" s="1"/>
    </row>
    <row r="82" spans="1:9" x14ac:dyDescent="0.25">
      <c r="A82" s="1"/>
      <c r="B82" s="56" t="s">
        <v>274</v>
      </c>
      <c r="C82" s="57" t="s">
        <v>273</v>
      </c>
      <c r="D82" s="9">
        <v>64478</v>
      </c>
      <c r="E82" s="9">
        <f t="shared" si="1"/>
        <v>859.70666666666671</v>
      </c>
      <c r="F82" s="9">
        <v>0</v>
      </c>
      <c r="G82" s="9">
        <v>0</v>
      </c>
      <c r="H82" s="14" t="s">
        <v>3</v>
      </c>
      <c r="I82" s="1"/>
    </row>
    <row r="83" spans="1:9" ht="26.25" x14ac:dyDescent="0.25">
      <c r="A83" s="1"/>
      <c r="B83" s="56" t="s">
        <v>288</v>
      </c>
      <c r="C83" s="57" t="s">
        <v>273</v>
      </c>
      <c r="D83" s="9">
        <v>2647305</v>
      </c>
      <c r="E83" s="9">
        <f t="shared" si="1"/>
        <v>35297.4</v>
      </c>
      <c r="F83" s="9">
        <v>0</v>
      </c>
      <c r="G83" s="9">
        <v>0</v>
      </c>
      <c r="H83" s="14" t="s">
        <v>3</v>
      </c>
      <c r="I83" s="1"/>
    </row>
    <row r="84" spans="1:9" ht="26.25" x14ac:dyDescent="0.25">
      <c r="A84" s="1"/>
      <c r="B84" s="56" t="s">
        <v>300</v>
      </c>
      <c r="C84" s="57" t="s">
        <v>279</v>
      </c>
      <c r="D84" s="9">
        <v>2543869</v>
      </c>
      <c r="E84" s="9">
        <f t="shared" si="1"/>
        <v>50877.38</v>
      </c>
      <c r="F84" s="9">
        <v>0</v>
      </c>
      <c r="G84" s="9">
        <v>0</v>
      </c>
      <c r="H84" s="14" t="s">
        <v>3</v>
      </c>
      <c r="I84" s="1"/>
    </row>
    <row r="85" spans="1:9" ht="26.25" x14ac:dyDescent="0.25">
      <c r="A85" s="1"/>
      <c r="B85" s="56" t="s">
        <v>275</v>
      </c>
      <c r="C85" s="57" t="s">
        <v>273</v>
      </c>
      <c r="D85" s="9">
        <v>1179624</v>
      </c>
      <c r="E85" s="9">
        <f t="shared" si="1"/>
        <v>15728.32</v>
      </c>
      <c r="F85" s="9">
        <v>0</v>
      </c>
      <c r="G85" s="9">
        <v>0</v>
      </c>
      <c r="H85" s="14" t="s">
        <v>3</v>
      </c>
      <c r="I85" s="1"/>
    </row>
    <row r="86" spans="1:9" ht="26.25" x14ac:dyDescent="0.25">
      <c r="A86" s="1"/>
      <c r="B86" s="56" t="s">
        <v>289</v>
      </c>
      <c r="C86" s="57" t="s">
        <v>273</v>
      </c>
      <c r="D86" s="9">
        <v>337400</v>
      </c>
      <c r="E86" s="9">
        <f t="shared" si="1"/>
        <v>4498.666666666667</v>
      </c>
      <c r="F86" s="9">
        <v>0</v>
      </c>
      <c r="G86" s="9">
        <v>0</v>
      </c>
      <c r="H86" s="14" t="s">
        <v>3</v>
      </c>
      <c r="I86" s="1"/>
    </row>
    <row r="87" spans="1:9" ht="26.25" x14ac:dyDescent="0.25">
      <c r="A87" s="1"/>
      <c r="B87" s="56" t="s">
        <v>276</v>
      </c>
      <c r="C87" s="57" t="s">
        <v>273</v>
      </c>
      <c r="D87" s="9">
        <v>6226406</v>
      </c>
      <c r="E87" s="9">
        <f t="shared" si="1"/>
        <v>83018.746666666673</v>
      </c>
      <c r="F87" s="9">
        <v>0</v>
      </c>
      <c r="G87" s="9">
        <v>0</v>
      </c>
      <c r="H87" s="14" t="s">
        <v>3</v>
      </c>
      <c r="I87" s="1"/>
    </row>
    <row r="88" spans="1:9" x14ac:dyDescent="0.25">
      <c r="A88" s="1"/>
      <c r="B88" s="56" t="s">
        <v>278</v>
      </c>
      <c r="C88" s="57" t="s">
        <v>279</v>
      </c>
      <c r="D88" s="9">
        <v>10946171</v>
      </c>
      <c r="E88" s="9">
        <f t="shared" si="1"/>
        <v>218923.42</v>
      </c>
      <c r="F88" s="9">
        <v>0</v>
      </c>
      <c r="G88" s="9">
        <v>0</v>
      </c>
      <c r="H88" s="14" t="s">
        <v>3</v>
      </c>
      <c r="I88" s="1"/>
    </row>
    <row r="89" spans="1:9" x14ac:dyDescent="0.25">
      <c r="A89" s="1"/>
      <c r="B89" s="56" t="s">
        <v>272</v>
      </c>
      <c r="C89" s="57" t="s">
        <v>273</v>
      </c>
      <c r="D89" s="9">
        <v>110159</v>
      </c>
      <c r="E89" s="9">
        <f t="shared" si="1"/>
        <v>1468.7866666666666</v>
      </c>
      <c r="F89" s="9">
        <v>0</v>
      </c>
      <c r="G89" s="9">
        <v>0</v>
      </c>
      <c r="H89" s="14" t="s">
        <v>3</v>
      </c>
      <c r="I89" s="1"/>
    </row>
    <row r="90" spans="1:9" x14ac:dyDescent="0.25">
      <c r="A90" s="1"/>
      <c r="B90" s="56" t="s">
        <v>274</v>
      </c>
      <c r="C90" s="57" t="s">
        <v>273</v>
      </c>
      <c r="D90" s="9">
        <v>326019</v>
      </c>
      <c r="E90" s="9">
        <f t="shared" si="1"/>
        <v>4346.92</v>
      </c>
      <c r="F90" s="9">
        <v>0</v>
      </c>
      <c r="G90" s="9">
        <v>0</v>
      </c>
      <c r="H90" s="14" t="s">
        <v>3</v>
      </c>
      <c r="I90" s="1"/>
    </row>
    <row r="91" spans="1:9" ht="26.25" x14ac:dyDescent="0.25">
      <c r="A91" s="1"/>
      <c r="B91" s="56" t="s">
        <v>275</v>
      </c>
      <c r="C91" s="57" t="s">
        <v>273</v>
      </c>
      <c r="D91" s="9">
        <v>70521</v>
      </c>
      <c r="E91" s="9">
        <f t="shared" si="1"/>
        <v>940.28</v>
      </c>
      <c r="F91" s="9">
        <v>0</v>
      </c>
      <c r="G91" s="9">
        <v>0</v>
      </c>
      <c r="H91" s="14" t="s">
        <v>3</v>
      </c>
      <c r="I91" s="1"/>
    </row>
    <row r="92" spans="1:9" ht="26.25" x14ac:dyDescent="0.25">
      <c r="A92" s="1"/>
      <c r="B92" s="56" t="s">
        <v>276</v>
      </c>
      <c r="C92" s="57" t="s">
        <v>273</v>
      </c>
      <c r="D92" s="9">
        <v>302641</v>
      </c>
      <c r="E92" s="9">
        <f t="shared" si="1"/>
        <v>4035.2133333333331</v>
      </c>
      <c r="F92" s="9">
        <v>0</v>
      </c>
      <c r="G92" s="9">
        <v>0</v>
      </c>
      <c r="H92" s="14" t="s">
        <v>3</v>
      </c>
      <c r="I92" s="1"/>
    </row>
    <row r="93" spans="1:9" x14ac:dyDescent="0.25">
      <c r="A93" s="1"/>
      <c r="B93" s="56" t="s">
        <v>278</v>
      </c>
      <c r="C93" s="57" t="s">
        <v>279</v>
      </c>
      <c r="D93" s="9">
        <v>4276315</v>
      </c>
      <c r="E93" s="9">
        <f t="shared" si="1"/>
        <v>85526.3</v>
      </c>
      <c r="F93" s="9">
        <v>0</v>
      </c>
      <c r="G93" s="9">
        <v>233940</v>
      </c>
      <c r="H93" s="14" t="s">
        <v>3</v>
      </c>
      <c r="I93" s="1"/>
    </row>
    <row r="94" spans="1:9" ht="26.25" x14ac:dyDescent="0.25">
      <c r="A94" s="1"/>
      <c r="B94" s="56" t="s">
        <v>290</v>
      </c>
      <c r="C94" s="57" t="s">
        <v>279</v>
      </c>
      <c r="D94" s="9">
        <v>2086761</v>
      </c>
      <c r="E94" s="9">
        <f t="shared" si="1"/>
        <v>41735.22</v>
      </c>
      <c r="F94" s="9">
        <v>0</v>
      </c>
      <c r="G94" s="9">
        <v>0</v>
      </c>
      <c r="H94" s="14" t="s">
        <v>3</v>
      </c>
      <c r="I94" s="1"/>
    </row>
    <row r="95" spans="1:9" ht="26.25" x14ac:dyDescent="0.25">
      <c r="A95" s="1"/>
      <c r="B95" s="56" t="s">
        <v>291</v>
      </c>
      <c r="C95" s="57" t="s">
        <v>283</v>
      </c>
      <c r="D95" s="9">
        <v>1584710</v>
      </c>
      <c r="E95" s="9">
        <f t="shared" si="1"/>
        <v>79235.5</v>
      </c>
      <c r="F95" s="9">
        <v>0</v>
      </c>
      <c r="G95" s="9">
        <v>0</v>
      </c>
      <c r="H95" s="14" t="s">
        <v>3</v>
      </c>
      <c r="I95" s="1"/>
    </row>
    <row r="96" spans="1:9" ht="26.25" x14ac:dyDescent="0.25">
      <c r="A96" s="1"/>
      <c r="B96" s="56" t="s">
        <v>292</v>
      </c>
      <c r="C96" s="57" t="s">
        <v>286</v>
      </c>
      <c r="D96" s="9">
        <v>99044</v>
      </c>
      <c r="E96" s="9">
        <f t="shared" si="1"/>
        <v>9904.4</v>
      </c>
      <c r="F96" s="9">
        <v>0</v>
      </c>
      <c r="G96" s="9">
        <v>0</v>
      </c>
      <c r="H96" s="14" t="s">
        <v>3</v>
      </c>
      <c r="I96" s="1"/>
    </row>
    <row r="97" spans="1:9" x14ac:dyDescent="0.25">
      <c r="A97" s="1"/>
      <c r="B97" s="56" t="s">
        <v>272</v>
      </c>
      <c r="C97" s="57" t="s">
        <v>273</v>
      </c>
      <c r="D97" s="9">
        <v>94217</v>
      </c>
      <c r="E97" s="9">
        <f t="shared" si="1"/>
        <v>1256.2266666666667</v>
      </c>
      <c r="F97" s="9">
        <v>0</v>
      </c>
      <c r="G97" s="9">
        <v>0</v>
      </c>
      <c r="H97" s="14" t="s">
        <v>3</v>
      </c>
      <c r="I97" s="1"/>
    </row>
    <row r="98" spans="1:9" x14ac:dyDescent="0.25">
      <c r="A98" s="1"/>
      <c r="B98" s="56" t="s">
        <v>274</v>
      </c>
      <c r="C98" s="57" t="s">
        <v>273</v>
      </c>
      <c r="D98" s="9">
        <v>2513922</v>
      </c>
      <c r="E98" s="9">
        <f t="shared" si="1"/>
        <v>33518.959999999999</v>
      </c>
      <c r="F98" s="9">
        <v>0</v>
      </c>
      <c r="G98" s="9">
        <v>0</v>
      </c>
      <c r="H98" s="14" t="s">
        <v>3</v>
      </c>
      <c r="I98" s="1"/>
    </row>
    <row r="99" spans="1:9" ht="26.25" x14ac:dyDescent="0.25">
      <c r="A99" s="1"/>
      <c r="B99" s="56" t="s">
        <v>289</v>
      </c>
      <c r="C99" s="57" t="s">
        <v>273</v>
      </c>
      <c r="D99" s="9">
        <v>62628</v>
      </c>
      <c r="E99" s="9">
        <f t="shared" si="1"/>
        <v>835.04</v>
      </c>
      <c r="F99" s="9">
        <v>0</v>
      </c>
      <c r="G99" s="9">
        <v>0</v>
      </c>
      <c r="H99" s="14" t="s">
        <v>3</v>
      </c>
      <c r="I99" s="1"/>
    </row>
    <row r="100" spans="1:9" ht="26.25" x14ac:dyDescent="0.25">
      <c r="A100" s="1"/>
      <c r="B100" s="56" t="s">
        <v>290</v>
      </c>
      <c r="C100" s="57" t="s">
        <v>279</v>
      </c>
      <c r="D100" s="9">
        <v>2442668</v>
      </c>
      <c r="E100" s="9">
        <f t="shared" si="1"/>
        <v>48853.36</v>
      </c>
      <c r="F100" s="9">
        <v>0</v>
      </c>
      <c r="G100" s="9">
        <v>0</v>
      </c>
      <c r="H100" s="14" t="s">
        <v>3</v>
      </c>
      <c r="I100" s="1"/>
    </row>
    <row r="101" spans="1:9" ht="26.25" x14ac:dyDescent="0.25">
      <c r="A101" s="1"/>
      <c r="B101" s="56" t="s">
        <v>291</v>
      </c>
      <c r="C101" s="57" t="s">
        <v>283</v>
      </c>
      <c r="D101" s="9">
        <v>837485</v>
      </c>
      <c r="E101" s="9">
        <f t="shared" ref="E101:E102" si="2">IFERROR(D101/C101,0)</f>
        <v>41874.25</v>
      </c>
      <c r="F101" s="9">
        <v>0</v>
      </c>
      <c r="G101" s="9">
        <v>0</v>
      </c>
      <c r="H101" s="14" t="s">
        <v>3</v>
      </c>
      <c r="I101" s="1"/>
    </row>
    <row r="102" spans="1:9" ht="26.25" x14ac:dyDescent="0.25">
      <c r="A102" s="1"/>
      <c r="B102" s="56" t="s">
        <v>292</v>
      </c>
      <c r="C102" s="57" t="s">
        <v>286</v>
      </c>
      <c r="D102" s="9">
        <v>139581</v>
      </c>
      <c r="E102" s="9">
        <f t="shared" si="2"/>
        <v>13958.1</v>
      </c>
      <c r="F102" s="9">
        <v>0</v>
      </c>
      <c r="G102" s="9">
        <v>280163</v>
      </c>
      <c r="H102" s="14" t="s">
        <v>3</v>
      </c>
      <c r="I102" s="1"/>
    </row>
    <row r="103" spans="1:9" x14ac:dyDescent="0.25">
      <c r="A103" s="1"/>
      <c r="B103" s="92" t="s">
        <v>238</v>
      </c>
      <c r="C103" s="93"/>
      <c r="D103" s="94"/>
      <c r="E103" s="12">
        <f>SUM(E10:E102)</f>
        <v>5736135.3433333347</v>
      </c>
      <c r="F103" s="12">
        <f>SUM(F10:F102)</f>
        <v>0</v>
      </c>
      <c r="G103" s="12">
        <f>SUM(G10:G102)</f>
        <v>8923410</v>
      </c>
      <c r="H103" s="13" t="s">
        <v>3</v>
      </c>
      <c r="I103" s="1"/>
    </row>
    <row r="104" spans="1:9" x14ac:dyDescent="0.25">
      <c r="A104" s="1"/>
      <c r="B104" s="1"/>
      <c r="C104" s="1"/>
      <c r="D104" s="1"/>
      <c r="E104" s="1"/>
      <c r="F104" s="1"/>
      <c r="G104" s="1"/>
      <c r="H104" s="1"/>
      <c r="I104" s="1"/>
    </row>
    <row r="105" spans="1:9" x14ac:dyDescent="0.25">
      <c r="A105" s="1"/>
      <c r="B105" s="1"/>
      <c r="C105" s="1"/>
      <c r="D105" s="1"/>
      <c r="E105" s="1"/>
      <c r="F105" s="1"/>
      <c r="G105" s="1"/>
      <c r="H105" s="1"/>
      <c r="I105" s="1"/>
    </row>
    <row r="106" spans="1:9" x14ac:dyDescent="0.25">
      <c r="A106" s="1"/>
      <c r="B106" s="1"/>
      <c r="C106" s="1"/>
      <c r="D106" s="1"/>
      <c r="E106" s="1"/>
      <c r="F106" s="1"/>
      <c r="G106" s="1"/>
      <c r="H106" s="1"/>
      <c r="I106" s="1"/>
    </row>
    <row r="107" spans="1:9" x14ac:dyDescent="0.25">
      <c r="A107" s="1"/>
      <c r="B107" s="1"/>
      <c r="C107" s="1"/>
      <c r="D107" s="1"/>
      <c r="E107" s="1"/>
      <c r="F107" s="1"/>
      <c r="G107" s="1"/>
      <c r="H107" s="1"/>
      <c r="I107" s="1"/>
    </row>
    <row r="108" spans="1:9" x14ac:dyDescent="0.25">
      <c r="A108" s="1"/>
      <c r="B108" s="1"/>
      <c r="C108" s="1"/>
      <c r="D108" s="1"/>
      <c r="E108" s="1"/>
      <c r="F108" s="1"/>
      <c r="G108" s="1"/>
      <c r="H108" s="1"/>
      <c r="I108" s="1"/>
    </row>
    <row r="109" spans="1:9" x14ac:dyDescent="0.25">
      <c r="A109" s="1"/>
      <c r="B109" s="1"/>
      <c r="C109" s="1"/>
      <c r="D109" s="1"/>
      <c r="E109" s="1"/>
      <c r="F109" s="1"/>
      <c r="G109" s="1"/>
      <c r="H109" s="1"/>
      <c r="I109" s="1"/>
    </row>
    <row r="110" spans="1:9" x14ac:dyDescent="0.25">
      <c r="A110" s="1"/>
      <c r="B110" s="1"/>
      <c r="C110" s="1"/>
      <c r="D110" s="1"/>
      <c r="E110" s="1"/>
      <c r="F110" s="1"/>
      <c r="G110" s="1"/>
      <c r="H110" s="1"/>
      <c r="I110" s="1"/>
    </row>
    <row r="111" spans="1:9" x14ac:dyDescent="0.25">
      <c r="A111" s="1"/>
      <c r="B111" s="1"/>
      <c r="C111" s="1"/>
      <c r="D111" s="1"/>
      <c r="E111" s="1"/>
      <c r="F111" s="1"/>
      <c r="G111" s="1"/>
      <c r="H111" s="1"/>
      <c r="I111" s="1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1"/>
      <c r="E113" s="1"/>
      <c r="F113" s="1"/>
      <c r="G113" s="1"/>
      <c r="H113" s="1"/>
      <c r="I113" s="1"/>
    </row>
    <row r="114" spans="1:9" x14ac:dyDescent="0.25">
      <c r="A114" s="1"/>
      <c r="B114" s="1"/>
      <c r="C114" s="1"/>
      <c r="D114" s="1"/>
      <c r="E114" s="1"/>
      <c r="F114" s="1"/>
      <c r="G114" s="1"/>
      <c r="H114" s="1"/>
      <c r="I114" s="1"/>
    </row>
    <row r="115" spans="1:9" x14ac:dyDescent="0.25">
      <c r="A115" s="1"/>
      <c r="B115" s="1"/>
      <c r="C115" s="1"/>
      <c r="D115" s="1"/>
      <c r="E115" s="1"/>
      <c r="F115" s="1"/>
      <c r="G115" s="1"/>
      <c r="H115" s="1"/>
      <c r="I115" s="1"/>
    </row>
    <row r="116" spans="1:9" x14ac:dyDescent="0.25">
      <c r="A116" s="1"/>
      <c r="B116" s="1"/>
      <c r="C116" s="1"/>
      <c r="D116" s="1"/>
      <c r="E116" s="1"/>
      <c r="F116" s="1"/>
      <c r="G116" s="1"/>
      <c r="H116" s="1"/>
      <c r="I116" s="1"/>
    </row>
    <row r="117" spans="1:9" x14ac:dyDescent="0.25">
      <c r="A117" s="1"/>
      <c r="B117" s="1"/>
      <c r="C117" s="1"/>
      <c r="D117" s="1"/>
      <c r="E117" s="1"/>
      <c r="F117" s="1"/>
      <c r="G117" s="1"/>
      <c r="H117" s="1"/>
      <c r="I117" s="1"/>
    </row>
    <row r="118" spans="1:9" x14ac:dyDescent="0.25">
      <c r="A118" s="1"/>
      <c r="B118" s="1"/>
      <c r="C118" s="1"/>
      <c r="D118" s="1"/>
      <c r="E118" s="1"/>
      <c r="F118" s="1"/>
      <c r="G118" s="1"/>
      <c r="H118" s="1"/>
      <c r="I118" s="1"/>
    </row>
    <row r="119" spans="1:9" x14ac:dyDescent="0.25">
      <c r="A119" s="1"/>
      <c r="B119" s="1"/>
      <c r="C119" s="1"/>
      <c r="D119" s="1"/>
      <c r="E119" s="1"/>
      <c r="F119" s="1"/>
      <c r="G119" s="1"/>
      <c r="H119" s="1"/>
      <c r="I119" s="1"/>
    </row>
    <row r="120" spans="1:9" x14ac:dyDescent="0.25">
      <c r="A120" s="1"/>
      <c r="B120" s="1"/>
      <c r="C120" s="1"/>
      <c r="D120" s="1"/>
      <c r="E120" s="1"/>
      <c r="F120" s="1"/>
      <c r="G120" s="1"/>
      <c r="H120" s="1"/>
      <c r="I120" s="1"/>
    </row>
    <row r="121" spans="1:9" x14ac:dyDescent="0.25">
      <c r="A121" s="1"/>
      <c r="B121" s="1"/>
      <c r="C121" s="1"/>
      <c r="D121" s="1"/>
      <c r="E121" s="1"/>
      <c r="F121" s="1"/>
      <c r="G121" s="1"/>
      <c r="H121" s="1"/>
      <c r="I121" s="1"/>
    </row>
    <row r="122" spans="1:9" x14ac:dyDescent="0.25">
      <c r="A122" s="1"/>
      <c r="B122" s="1"/>
      <c r="C122" s="1"/>
      <c r="D122" s="1"/>
      <c r="E122" s="1"/>
      <c r="F122" s="1"/>
      <c r="G122" s="1"/>
      <c r="H122" s="1"/>
      <c r="I122" s="1"/>
    </row>
    <row r="123" spans="1:9" x14ac:dyDescent="0.25">
      <c r="A123" s="1"/>
      <c r="B123" s="1"/>
      <c r="C123" s="1"/>
      <c r="D123" s="1"/>
      <c r="E123" s="1"/>
      <c r="F123" s="1"/>
      <c r="G123" s="1"/>
      <c r="H123" s="1"/>
      <c r="I123" s="1"/>
    </row>
    <row r="124" spans="1:9" x14ac:dyDescent="0.25">
      <c r="A124" s="1"/>
      <c r="B124" s="1"/>
      <c r="C124" s="1"/>
      <c r="D124" s="1"/>
      <c r="E124" s="1"/>
      <c r="F124" s="1"/>
      <c r="G124" s="1"/>
      <c r="H124" s="1"/>
      <c r="I124" s="1"/>
    </row>
    <row r="125" spans="1:9" x14ac:dyDescent="0.25">
      <c r="A125" s="1"/>
      <c r="B125" s="1"/>
      <c r="C125" s="1"/>
      <c r="D125" s="1"/>
      <c r="E125" s="1"/>
      <c r="F125" s="1"/>
      <c r="G125" s="1"/>
      <c r="H125" s="1"/>
      <c r="I125" s="1"/>
    </row>
    <row r="126" spans="1:9" x14ac:dyDescent="0.25">
      <c r="A126" s="1"/>
      <c r="B126" s="1"/>
      <c r="C126" s="1"/>
      <c r="D126" s="1"/>
      <c r="E126" s="1"/>
      <c r="F126" s="1"/>
      <c r="G126" s="1"/>
      <c r="H126" s="1"/>
      <c r="I126" s="1"/>
    </row>
    <row r="127" spans="1:9" x14ac:dyDescent="0.25">
      <c r="A127" s="1"/>
      <c r="B127" s="1"/>
      <c r="C127" s="1"/>
      <c r="D127" s="1"/>
      <c r="E127" s="1"/>
      <c r="F127" s="1"/>
      <c r="G127" s="1"/>
      <c r="H127" s="1"/>
      <c r="I127" s="1"/>
    </row>
    <row r="128" spans="1:9" x14ac:dyDescent="0.25">
      <c r="A128" s="1"/>
      <c r="B128" s="1"/>
      <c r="C128" s="1"/>
      <c r="D128" s="1"/>
      <c r="E128" s="1"/>
      <c r="F128" s="1"/>
      <c r="G128" s="1"/>
      <c r="H128" s="1"/>
      <c r="I128" s="1"/>
    </row>
    <row r="129" spans="1:9" x14ac:dyDescent="0.25">
      <c r="A129" s="1"/>
      <c r="B129" s="1"/>
      <c r="C129" s="1"/>
      <c r="D129" s="1"/>
      <c r="E129" s="1"/>
      <c r="F129" s="1"/>
      <c r="G129" s="1"/>
      <c r="H129" s="1"/>
      <c r="I129" s="1"/>
    </row>
    <row r="130" spans="1:9" x14ac:dyDescent="0.25">
      <c r="A130" s="1"/>
      <c r="B130" s="1"/>
      <c r="C130" s="1"/>
      <c r="D130" s="1"/>
      <c r="E130" s="1"/>
      <c r="F130" s="1"/>
      <c r="G130" s="1"/>
      <c r="H130" s="1"/>
      <c r="I130" s="1"/>
    </row>
    <row r="131" spans="1:9" x14ac:dyDescent="0.25">
      <c r="A131" s="1"/>
      <c r="B131" s="1"/>
      <c r="C131" s="1"/>
      <c r="D131" s="1"/>
      <c r="E131" s="1"/>
      <c r="F131" s="1"/>
      <c r="G131" s="1"/>
      <c r="H131" s="1"/>
      <c r="I131" s="1"/>
    </row>
    <row r="132" spans="1:9" x14ac:dyDescent="0.25">
      <c r="A132" s="1"/>
      <c r="B132" s="1"/>
      <c r="C132" s="1"/>
      <c r="D132" s="1"/>
      <c r="E132" s="1"/>
      <c r="F132" s="1"/>
      <c r="G132" s="1"/>
      <c r="H132" s="1"/>
      <c r="I132" s="1"/>
    </row>
    <row r="133" spans="1:9" x14ac:dyDescent="0.25">
      <c r="A133" s="1"/>
      <c r="B133" s="1"/>
      <c r="C133" s="1"/>
      <c r="D133" s="1"/>
      <c r="E133" s="1"/>
      <c r="F133" s="1"/>
      <c r="G133" s="1"/>
      <c r="H133" s="1"/>
      <c r="I133" s="1"/>
    </row>
    <row r="134" spans="1:9" x14ac:dyDescent="0.25">
      <c r="A134" s="1"/>
      <c r="B134" s="1"/>
      <c r="C134" s="1"/>
      <c r="D134" s="1"/>
      <c r="E134" s="1"/>
      <c r="F134" s="1"/>
      <c r="G134" s="1"/>
      <c r="H134" s="1"/>
      <c r="I134" s="1"/>
    </row>
    <row r="135" spans="1:9" x14ac:dyDescent="0.25">
      <c r="A135" s="1"/>
      <c r="B135" s="1"/>
      <c r="C135" s="1"/>
      <c r="D135" s="1"/>
      <c r="E135" s="1"/>
      <c r="F135" s="1"/>
      <c r="G135" s="1"/>
      <c r="H135" s="1"/>
      <c r="I135" s="1"/>
    </row>
    <row r="136" spans="1:9" x14ac:dyDescent="0.25">
      <c r="A136" s="1"/>
      <c r="B136" s="1"/>
      <c r="C136" s="1"/>
      <c r="D136" s="1"/>
      <c r="E136" s="1"/>
      <c r="F136" s="1"/>
      <c r="G136" s="1"/>
      <c r="H136" s="1"/>
      <c r="I136" s="1"/>
    </row>
    <row r="137" spans="1:9" x14ac:dyDescent="0.25">
      <c r="A137" s="1"/>
      <c r="B137" s="1"/>
      <c r="C137" s="1"/>
      <c r="D137" s="1"/>
      <c r="E137" s="1"/>
      <c r="F137" s="1"/>
      <c r="G137" s="1"/>
      <c r="H137" s="1"/>
      <c r="I137" s="1"/>
    </row>
    <row r="138" spans="1:9" x14ac:dyDescent="0.25">
      <c r="A138" s="1"/>
      <c r="B138" s="1"/>
      <c r="C138" s="1"/>
      <c r="D138" s="1"/>
      <c r="E138" s="1"/>
      <c r="F138" s="1"/>
      <c r="G138" s="1"/>
      <c r="H138" s="1"/>
      <c r="I138" s="1"/>
    </row>
  </sheetData>
  <sheetProtection algorithmName="SHA-512" hashValue="r7ui0axaLvW5n08EREBOzXbDeKsNdbvwmsqPSKGN7LQsfwEy8HS+9DB0dZCY28U1hCQcF9jx3SatDxtx65alVA==" saltValue="KVeyBVvv/WaC+G+kEQFMMA==" spinCount="100000" sheet="1" objects="1" scenarios="1"/>
  <mergeCells count="3">
    <mergeCell ref="B3:H4"/>
    <mergeCell ref="B103:D103"/>
    <mergeCell ref="B8:H8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G5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168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108</v>
      </c>
      <c r="C8" s="32"/>
      <c r="D8" s="32"/>
      <c r="E8" s="32"/>
      <c r="F8" s="20"/>
      <c r="G8" s="1"/>
    </row>
    <row r="9" spans="1:7" ht="17.25" customHeight="1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239</v>
      </c>
      <c r="C10" s="22">
        <f>'Fane 9. Anlægsprojekter'!F103</f>
        <v>0</v>
      </c>
      <c r="D10" s="14" t="s">
        <v>3</v>
      </c>
      <c r="E10" s="9">
        <f>SUM('Fane 9. Anlægsprojekter'!E103,'Fane 9. Anlægsprojekter'!G103)</f>
        <v>14659545.343333334</v>
      </c>
      <c r="F10" s="14" t="s">
        <v>3</v>
      </c>
      <c r="G10" s="1"/>
    </row>
    <row r="11" spans="1:7" x14ac:dyDescent="0.25">
      <c r="A11" s="1"/>
      <c r="B11" s="58" t="s">
        <v>301</v>
      </c>
      <c r="C11" s="22">
        <v>0</v>
      </c>
      <c r="D11" s="14" t="s">
        <v>3</v>
      </c>
      <c r="E11" s="9">
        <v>1038609</v>
      </c>
      <c r="F11" s="14" t="s">
        <v>3</v>
      </c>
      <c r="G11" s="1"/>
    </row>
    <row r="12" spans="1:7" x14ac:dyDescent="0.25">
      <c r="A12" s="1"/>
      <c r="B12" s="58" t="s">
        <v>302</v>
      </c>
      <c r="C12" s="22">
        <v>713000</v>
      </c>
      <c r="D12" s="14" t="s">
        <v>3</v>
      </c>
      <c r="E12" s="9">
        <v>285732</v>
      </c>
      <c r="F12" s="14" t="s">
        <v>3</v>
      </c>
      <c r="G12" s="1"/>
    </row>
    <row r="13" spans="1:7" x14ac:dyDescent="0.25">
      <c r="A13" s="1"/>
      <c r="B13" s="25" t="s">
        <v>303</v>
      </c>
      <c r="C13" s="22">
        <v>329506</v>
      </c>
      <c r="D13" s="14" t="s">
        <v>3</v>
      </c>
      <c r="E13" s="9">
        <v>0</v>
      </c>
      <c r="F13" s="14" t="s">
        <v>3</v>
      </c>
      <c r="G13" s="1"/>
    </row>
    <row r="14" spans="1:7" x14ac:dyDescent="0.25">
      <c r="A14" s="1"/>
      <c r="B14" s="38" t="s">
        <v>50</v>
      </c>
      <c r="C14" s="12">
        <f>SUM(C10:C13)</f>
        <v>1042506</v>
      </c>
      <c r="D14" s="13" t="s">
        <v>3</v>
      </c>
      <c r="E14" s="12">
        <f>SUM(E10:E13)</f>
        <v>15983886.343333334</v>
      </c>
      <c r="F14" s="13" t="s">
        <v>3</v>
      </c>
      <c r="G14" s="1"/>
    </row>
    <row r="15" spans="1:7" x14ac:dyDescent="0.25">
      <c r="A15" s="1"/>
      <c r="B15" s="38" t="s">
        <v>219</v>
      </c>
      <c r="C15" s="12">
        <f>C14*(1+'Fane 14. Nøgletal'!C13)</f>
        <v>1055224.5732</v>
      </c>
      <c r="D15" s="13" t="s">
        <v>3</v>
      </c>
      <c r="E15" s="12">
        <f>E14*(1+'Fane 14. Nøgletal'!C13)</f>
        <v>16178889.756721999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</sheetData>
  <sheetProtection algorithmName="SHA-512" hashValue="onlkIh9bZvNYGUBVkZv9NuOMlyPeb40Iz8OAL+d8vGewjKx1GsfNdnqchce3H8C0UYB+REvogJvcsAn6XdOb6w==" saltValue="AyeGAKXKXSdgxVCI/CNTig==" spinCount="100000" sheet="1" objects="1" scenarios="1"/>
  <mergeCells count="1">
    <mergeCell ref="B3:F4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G43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42578125" style="2" bestFit="1" customWidth="1"/>
    <col min="5" max="5" width="17.7109375" style="2" bestFit="1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78" t="s">
        <v>167</v>
      </c>
      <c r="C3" s="78"/>
      <c r="D3" s="78"/>
      <c r="E3" s="78"/>
      <c r="F3" s="78"/>
      <c r="G3" s="1"/>
    </row>
    <row r="4" spans="1:7" ht="15" customHeight="1" x14ac:dyDescent="0.25">
      <c r="A4" s="1"/>
      <c r="B4" s="78"/>
      <c r="C4" s="78"/>
      <c r="D4" s="78"/>
      <c r="E4" s="78"/>
      <c r="F4" s="78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141</v>
      </c>
      <c r="C8" s="93"/>
      <c r="D8" s="93"/>
      <c r="E8" s="93"/>
      <c r="F8" s="94"/>
      <c r="G8" s="1"/>
    </row>
    <row r="9" spans="1:7" x14ac:dyDescent="0.25">
      <c r="A9" s="1"/>
      <c r="B9" s="49" t="s">
        <v>18</v>
      </c>
      <c r="C9" s="49" t="s">
        <v>12</v>
      </c>
      <c r="D9" s="50"/>
      <c r="E9" s="49" t="s">
        <v>38</v>
      </c>
      <c r="F9" s="37"/>
      <c r="G9" s="1"/>
    </row>
    <row r="10" spans="1:7" x14ac:dyDescent="0.25">
      <c r="A10" s="1"/>
      <c r="B10" s="25" t="s">
        <v>304</v>
      </c>
      <c r="C10" s="22">
        <v>3624572</v>
      </c>
      <c r="D10" s="14" t="s">
        <v>3</v>
      </c>
      <c r="E10" s="9">
        <v>0</v>
      </c>
      <c r="F10" s="14" t="s">
        <v>3</v>
      </c>
      <c r="G10" s="1"/>
    </row>
    <row r="11" spans="1:7" ht="26.25" x14ac:dyDescent="0.25">
      <c r="A11" s="1"/>
      <c r="B11" s="59" t="s">
        <v>306</v>
      </c>
      <c r="C11" s="22"/>
      <c r="D11" s="14" t="s">
        <v>3</v>
      </c>
      <c r="E11" s="9">
        <v>484968</v>
      </c>
      <c r="F11" s="14" t="s">
        <v>3</v>
      </c>
      <c r="G11" s="1"/>
    </row>
    <row r="12" spans="1:7" x14ac:dyDescent="0.25">
      <c r="A12" s="1"/>
      <c r="B12" s="38" t="s">
        <v>220</v>
      </c>
      <c r="C12" s="12">
        <f>SUM(C10:C11)</f>
        <v>3624572</v>
      </c>
      <c r="D12" s="13" t="s">
        <v>3</v>
      </c>
      <c r="E12" s="12">
        <f>SUM(E10:E11)</f>
        <v>484968</v>
      </c>
      <c r="F12" s="13" t="s">
        <v>3</v>
      </c>
      <c r="G12" s="1"/>
    </row>
    <row r="13" spans="1:7" x14ac:dyDescent="0.25">
      <c r="A13" s="1"/>
      <c r="B13" s="27" t="s">
        <v>10</v>
      </c>
      <c r="C13" s="28">
        <f>-C12*'Fane 5. Individuelt eff. krav'!G11</f>
        <v>-28523.7159624423</v>
      </c>
      <c r="D13" s="29" t="s">
        <v>3</v>
      </c>
      <c r="E13" s="28">
        <f>-E12*'Fane 5. Individuelt eff. krav'!G11</f>
        <v>-3816.4752922203556</v>
      </c>
      <c r="F13" s="29" t="s">
        <v>3</v>
      </c>
      <c r="G13" s="1"/>
    </row>
    <row r="14" spans="1:7" x14ac:dyDescent="0.25">
      <c r="A14" s="1"/>
      <c r="B14" s="27" t="s">
        <v>145</v>
      </c>
      <c r="C14" s="28">
        <f>-C12*'Fane 14. Nøgletal'!C27</f>
        <v>-72491.44</v>
      </c>
      <c r="D14" s="29" t="s">
        <v>3</v>
      </c>
      <c r="E14" s="28">
        <f>-E12*'Fane 14. Nøgletal'!C22</f>
        <v>-13336.62</v>
      </c>
      <c r="F14" s="29" t="s">
        <v>3</v>
      </c>
      <c r="G14" s="1"/>
    </row>
    <row r="15" spans="1:7" x14ac:dyDescent="0.25">
      <c r="A15" s="1"/>
      <c r="B15" s="38" t="s">
        <v>144</v>
      </c>
      <c r="C15" s="12">
        <f>SUM(C12:C14)*(1+'Fane 14. Nøgletal'!C13)^2</f>
        <v>3610056.0772327408</v>
      </c>
      <c r="D15" s="13" t="s">
        <v>3</v>
      </c>
      <c r="E15" s="12">
        <f>SUM(E12:E14)*(1+'Fane 14. Nøgletal'!C13)^2</f>
        <v>479299.21795306617</v>
      </c>
      <c r="F15" s="13" t="s">
        <v>3</v>
      </c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92" t="s">
        <v>142</v>
      </c>
      <c r="C17" s="93"/>
      <c r="D17" s="93"/>
      <c r="E17" s="93"/>
      <c r="F17" s="94"/>
      <c r="G17" s="1"/>
    </row>
    <row r="18" spans="1:7" x14ac:dyDescent="0.25">
      <c r="A18" s="1"/>
      <c r="B18" s="49" t="s">
        <v>18</v>
      </c>
      <c r="C18" s="49" t="s">
        <v>12</v>
      </c>
      <c r="D18" s="50"/>
      <c r="E18" s="49" t="s">
        <v>38</v>
      </c>
      <c r="F18" s="37"/>
      <c r="G18" s="1"/>
    </row>
    <row r="19" spans="1:7" x14ac:dyDescent="0.25">
      <c r="A19" s="1"/>
      <c r="B19" s="25" t="s">
        <v>305</v>
      </c>
      <c r="C19" s="22">
        <v>0</v>
      </c>
      <c r="D19" s="14" t="s">
        <v>3</v>
      </c>
      <c r="E19" s="9">
        <v>0</v>
      </c>
      <c r="F19" s="14" t="s">
        <v>3</v>
      </c>
      <c r="G19" s="1"/>
    </row>
    <row r="20" spans="1:7" x14ac:dyDescent="0.25">
      <c r="A20" s="1"/>
      <c r="B20" s="38" t="s">
        <v>220</v>
      </c>
      <c r="C20" s="12">
        <f>SUM(C19:C19)</f>
        <v>0</v>
      </c>
      <c r="D20" s="13" t="s">
        <v>3</v>
      </c>
      <c r="E20" s="12">
        <f>SUM(E19:E19)</f>
        <v>0</v>
      </c>
      <c r="F20" s="13" t="s">
        <v>3</v>
      </c>
      <c r="G20" s="1"/>
    </row>
    <row r="21" spans="1:7" x14ac:dyDescent="0.25">
      <c r="A21" s="1"/>
      <c r="B21" s="27" t="s">
        <v>10</v>
      </c>
      <c r="C21" s="28">
        <f>-C20*'Fane 5. Individuelt eff. krav'!G11</f>
        <v>0</v>
      </c>
      <c r="D21" s="29" t="s">
        <v>3</v>
      </c>
      <c r="E21" s="28">
        <f>-E20*'Fane 5. Individuelt eff. krav'!G11</f>
        <v>0</v>
      </c>
      <c r="F21" s="29" t="s">
        <v>3</v>
      </c>
      <c r="G21" s="1"/>
    </row>
    <row r="22" spans="1:7" x14ac:dyDescent="0.25">
      <c r="A22" s="1"/>
      <c r="B22" s="27" t="s">
        <v>145</v>
      </c>
      <c r="C22" s="28">
        <f>-C20*'Fane 14. Nøgletal'!C27</f>
        <v>0</v>
      </c>
      <c r="D22" s="29" t="s">
        <v>3</v>
      </c>
      <c r="E22" s="28">
        <f>-E20*'Fane 14. Nøgletal'!C22</f>
        <v>0</v>
      </c>
      <c r="F22" s="29" t="s">
        <v>3</v>
      </c>
      <c r="G22" s="1"/>
    </row>
    <row r="23" spans="1:7" x14ac:dyDescent="0.25">
      <c r="A23" s="1"/>
      <c r="B23" s="38" t="s">
        <v>221</v>
      </c>
      <c r="C23" s="12">
        <f>SUM(C20:C22)*(1+'Fane 14. Nøgletal'!C13)^3</f>
        <v>0</v>
      </c>
      <c r="D23" s="13" t="s">
        <v>3</v>
      </c>
      <c r="E23" s="12">
        <f>SUM(E20:E22)*(1+'Fane 14. Nøgletal'!C13)^3</f>
        <v>0</v>
      </c>
      <c r="F23" s="13" t="s">
        <v>3</v>
      </c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92" t="s">
        <v>143</v>
      </c>
      <c r="C25" s="93"/>
      <c r="D25" s="93"/>
      <c r="E25" s="93"/>
      <c r="F25" s="94"/>
      <c r="G25" s="1"/>
    </row>
    <row r="26" spans="1:7" x14ac:dyDescent="0.25">
      <c r="A26" s="1"/>
      <c r="B26" s="49" t="s">
        <v>18</v>
      </c>
      <c r="C26" s="49" t="s">
        <v>12</v>
      </c>
      <c r="D26" s="50"/>
      <c r="E26" s="49" t="s">
        <v>38</v>
      </c>
      <c r="F26" s="37"/>
      <c r="G26" s="1"/>
    </row>
    <row r="27" spans="1:7" x14ac:dyDescent="0.25">
      <c r="A27" s="1"/>
      <c r="B27" s="25" t="s">
        <v>305</v>
      </c>
      <c r="C27" s="22">
        <v>0</v>
      </c>
      <c r="D27" s="14" t="s">
        <v>3</v>
      </c>
      <c r="E27" s="9">
        <v>0</v>
      </c>
      <c r="F27" s="14" t="s">
        <v>3</v>
      </c>
      <c r="G27" s="1"/>
    </row>
    <row r="28" spans="1:7" x14ac:dyDescent="0.25">
      <c r="A28" s="1"/>
      <c r="B28" s="38" t="s">
        <v>220</v>
      </c>
      <c r="C28" s="12">
        <f>SUM(C27:C27)</f>
        <v>0</v>
      </c>
      <c r="D28" s="13" t="s">
        <v>3</v>
      </c>
      <c r="E28" s="12">
        <f>SUM(E27:E27)</f>
        <v>0</v>
      </c>
      <c r="F28" s="13" t="s">
        <v>3</v>
      </c>
      <c r="G28" s="1"/>
    </row>
    <row r="29" spans="1:7" x14ac:dyDescent="0.25">
      <c r="A29" s="1"/>
      <c r="B29" s="27" t="s">
        <v>10</v>
      </c>
      <c r="C29" s="28">
        <f>-C28*'Fane 5. Individuelt eff. krav'!G11</f>
        <v>0</v>
      </c>
      <c r="D29" s="29" t="s">
        <v>3</v>
      </c>
      <c r="E29" s="28">
        <f>-E28*'Fane 5. Individuelt eff. krav'!G11</f>
        <v>0</v>
      </c>
      <c r="F29" s="29" t="s">
        <v>3</v>
      </c>
      <c r="G29" s="1"/>
    </row>
    <row r="30" spans="1:7" x14ac:dyDescent="0.25">
      <c r="A30" s="1"/>
      <c r="B30" s="27" t="s">
        <v>145</v>
      </c>
      <c r="C30" s="28">
        <f>-C28*'Fane 14. Nøgletal'!C27</f>
        <v>0</v>
      </c>
      <c r="D30" s="29" t="s">
        <v>3</v>
      </c>
      <c r="E30" s="28">
        <f>-E28*'Fane 14. Nøgletal'!C22</f>
        <v>0</v>
      </c>
      <c r="F30" s="29" t="s">
        <v>3</v>
      </c>
      <c r="G30" s="1"/>
    </row>
    <row r="31" spans="1:7" x14ac:dyDescent="0.25">
      <c r="A31" s="1"/>
      <c r="B31" s="38" t="s">
        <v>222</v>
      </c>
      <c r="C31" s="12">
        <f>SUM(C28:C30)*(1+'Fane 14. Nøgletal'!C13)^4</f>
        <v>0</v>
      </c>
      <c r="D31" s="13" t="s">
        <v>3</v>
      </c>
      <c r="E31" s="12">
        <f>SUM(E28:E30)*(1+'Fane 14. Nøgletal'!C13)^4</f>
        <v>0</v>
      </c>
      <c r="F31" s="13" t="s">
        <v>3</v>
      </c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92" t="s">
        <v>223</v>
      </c>
      <c r="C33" s="93"/>
      <c r="D33" s="93"/>
      <c r="E33" s="93"/>
      <c r="F33" s="94"/>
      <c r="G33" s="1"/>
    </row>
    <row r="34" spans="1:7" x14ac:dyDescent="0.25">
      <c r="A34" s="1"/>
      <c r="B34" s="49" t="s">
        <v>18</v>
      </c>
      <c r="C34" s="49" t="s">
        <v>12</v>
      </c>
      <c r="D34" s="50"/>
      <c r="E34" s="49" t="s">
        <v>38</v>
      </c>
      <c r="F34" s="37"/>
      <c r="G34" s="1"/>
    </row>
    <row r="35" spans="1:7" x14ac:dyDescent="0.25">
      <c r="A35" s="1"/>
      <c r="B35" s="25" t="s">
        <v>305</v>
      </c>
      <c r="C35" s="22">
        <v>0</v>
      </c>
      <c r="D35" s="14" t="s">
        <v>3</v>
      </c>
      <c r="E35" s="9">
        <v>0</v>
      </c>
      <c r="F35" s="14" t="s">
        <v>3</v>
      </c>
      <c r="G35" s="1"/>
    </row>
    <row r="36" spans="1:7" x14ac:dyDescent="0.25">
      <c r="A36" s="1"/>
      <c r="B36" s="38" t="s">
        <v>220</v>
      </c>
      <c r="C36" s="12">
        <f>SUM(C35:C35)</f>
        <v>0</v>
      </c>
      <c r="D36" s="13" t="s">
        <v>3</v>
      </c>
      <c r="E36" s="12">
        <f>SUM(E35:E35)</f>
        <v>0</v>
      </c>
      <c r="F36" s="13" t="s">
        <v>3</v>
      </c>
      <c r="G36" s="1"/>
    </row>
    <row r="37" spans="1:7" x14ac:dyDescent="0.25">
      <c r="A37" s="1"/>
      <c r="B37" s="27" t="s">
        <v>10</v>
      </c>
      <c r="C37" s="28">
        <f>-C36*'Fane 5. Individuelt eff. krav'!G11</f>
        <v>0</v>
      </c>
      <c r="D37" s="29" t="s">
        <v>3</v>
      </c>
      <c r="E37" s="28">
        <f>-E36*'Fane 5. Individuelt eff. krav'!G11</f>
        <v>0</v>
      </c>
      <c r="F37" s="29" t="s">
        <v>3</v>
      </c>
      <c r="G37" s="1"/>
    </row>
    <row r="38" spans="1:7" x14ac:dyDescent="0.25">
      <c r="A38" s="1"/>
      <c r="B38" s="27" t="s">
        <v>145</v>
      </c>
      <c r="C38" s="28">
        <f>-C36*'Fane 14. Nøgletal'!C27</f>
        <v>0</v>
      </c>
      <c r="D38" s="29" t="s">
        <v>3</v>
      </c>
      <c r="E38" s="28">
        <f>-E36*'Fane 14. Nøgletal'!C22</f>
        <v>0</v>
      </c>
      <c r="F38" s="29" t="s">
        <v>3</v>
      </c>
      <c r="G38" s="1"/>
    </row>
    <row r="39" spans="1:7" x14ac:dyDescent="0.25">
      <c r="A39" s="1"/>
      <c r="B39" s="38" t="s">
        <v>224</v>
      </c>
      <c r="C39" s="12">
        <f>SUM(C36:C38)*(1+'Fane 14. Nøgletal'!C13)^5</f>
        <v>0</v>
      </c>
      <c r="D39" s="13" t="s">
        <v>3</v>
      </c>
      <c r="E39" s="12">
        <f>SUM(E36:E38)*(1+'Fane 14. Nøgletal'!C13)^5</f>
        <v>0</v>
      </c>
      <c r="F39" s="13" t="s">
        <v>3</v>
      </c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</sheetData>
  <sheetProtection algorithmName="SHA-512" hashValue="MvLUTuaUr/6Q1x3ZPSDx5PxrfFcfZw/NtY1yXGK6XQ1SPUFihRJETX6EyiryYABx2nkYWlBA+jApdw/y3PKmJQ==" saltValue="3mjILFFpN4rvgy23cNNgzg==" spinCount="100000" sheet="1" objects="1" scenarios="1"/>
  <mergeCells count="5">
    <mergeCell ref="B3:F4"/>
    <mergeCell ref="B8:F8"/>
    <mergeCell ref="B17:F17"/>
    <mergeCell ref="B25:F25"/>
    <mergeCell ref="B33:F33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G50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4.42578125" style="2" customWidth="1"/>
    <col min="3" max="3" width="16.28515625" style="2" customWidth="1"/>
    <col min="4" max="4" width="3.28515625" style="2" customWidth="1"/>
    <col min="5" max="5" width="19.1406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169</v>
      </c>
      <c r="C3" s="89"/>
      <c r="D3" s="89"/>
      <c r="E3" s="89"/>
      <c r="F3" s="89"/>
      <c r="G3" s="1"/>
    </row>
    <row r="4" spans="1:7" ht="1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89"/>
      <c r="C5" s="89"/>
      <c r="D5" s="89"/>
      <c r="E5" s="89"/>
      <c r="F5" s="89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125</v>
      </c>
      <c r="C8" s="93"/>
      <c r="D8" s="93"/>
      <c r="E8" s="93"/>
      <c r="F8" s="94"/>
      <c r="G8" s="1"/>
    </row>
    <row r="9" spans="1:7" x14ac:dyDescent="0.25">
      <c r="A9" s="1"/>
      <c r="B9" s="112" t="s">
        <v>309</v>
      </c>
      <c r="C9" s="113"/>
      <c r="D9" s="114"/>
      <c r="E9" s="9">
        <v>960274</v>
      </c>
      <c r="F9" s="14" t="s">
        <v>3</v>
      </c>
      <c r="G9" s="1"/>
    </row>
    <row r="10" spans="1:7" x14ac:dyDescent="0.25">
      <c r="A10" s="1"/>
      <c r="B10" s="83" t="s">
        <v>10</v>
      </c>
      <c r="C10" s="84"/>
      <c r="D10" s="90"/>
      <c r="E10" s="9">
        <f>-E9*'Fane 5. Individuelt eff. krav'!G11</f>
        <v>-7556.9150846274588</v>
      </c>
      <c r="F10" s="14" t="s">
        <v>3</v>
      </c>
      <c r="G10" s="1"/>
    </row>
    <row r="11" spans="1:7" x14ac:dyDescent="0.25">
      <c r="A11" s="1"/>
      <c r="B11" s="83" t="s">
        <v>29</v>
      </c>
      <c r="C11" s="84"/>
      <c r="D11" s="90"/>
      <c r="E11" s="9">
        <f>-E9*'Fane 14. Nøgletal'!C27</f>
        <v>-19205.48</v>
      </c>
      <c r="F11" s="14" t="s">
        <v>3</v>
      </c>
      <c r="G11" s="1"/>
    </row>
    <row r="12" spans="1:7" x14ac:dyDescent="0.25">
      <c r="A12" s="1"/>
      <c r="B12" s="92" t="s">
        <v>128</v>
      </c>
      <c r="C12" s="93"/>
      <c r="D12" s="94"/>
      <c r="E12" s="12">
        <f>SUM(E9:E11)*(1+'Fane 14. Nøgletal'!C12)^3</f>
        <v>989776.13736654539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126</v>
      </c>
      <c r="C14" s="93"/>
      <c r="D14" s="93"/>
      <c r="E14" s="93"/>
      <c r="F14" s="94"/>
      <c r="G14" s="1"/>
    </row>
    <row r="15" spans="1:7" x14ac:dyDescent="0.25">
      <c r="A15" s="1"/>
      <c r="B15" s="112" t="s">
        <v>207</v>
      </c>
      <c r="C15" s="113"/>
      <c r="D15" s="114"/>
      <c r="E15" s="9">
        <v>976503</v>
      </c>
      <c r="F15" s="14" t="s">
        <v>3</v>
      </c>
      <c r="G15" s="1"/>
    </row>
    <row r="16" spans="1:7" x14ac:dyDescent="0.25">
      <c r="A16" s="1"/>
      <c r="B16" s="83" t="s">
        <v>10</v>
      </c>
      <c r="C16" s="84"/>
      <c r="D16" s="90"/>
      <c r="E16" s="9">
        <f>-E15*'Fane 5. Individuelt eff. krav'!G11</f>
        <v>-7684.6298565659044</v>
      </c>
      <c r="F16" s="14" t="s">
        <v>3</v>
      </c>
      <c r="G16" s="1"/>
    </row>
    <row r="17" spans="1:7" x14ac:dyDescent="0.25">
      <c r="A17" s="1"/>
      <c r="B17" s="83" t="s">
        <v>29</v>
      </c>
      <c r="C17" s="84"/>
      <c r="D17" s="90"/>
      <c r="E17" s="9">
        <f>-E15*'Fane 14. Nøgletal'!C27</f>
        <v>-19530.060000000001</v>
      </c>
      <c r="F17" s="14" t="s">
        <v>3</v>
      </c>
      <c r="G17" s="1"/>
    </row>
    <row r="18" spans="1:7" x14ac:dyDescent="0.25">
      <c r="A18" s="1"/>
      <c r="B18" s="92" t="s">
        <v>129</v>
      </c>
      <c r="C18" s="93"/>
      <c r="D18" s="94"/>
      <c r="E18" s="12">
        <f>SUM(E15:E17)*(1+'Fane 14. Nøgletal'!C13)^3</f>
        <v>984457.86227420846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127</v>
      </c>
      <c r="C20" s="93"/>
      <c r="D20" s="93"/>
      <c r="E20" s="93"/>
      <c r="F20" s="94"/>
      <c r="G20" s="1"/>
    </row>
    <row r="21" spans="1:7" x14ac:dyDescent="0.25">
      <c r="A21" s="1"/>
      <c r="B21" s="112" t="s">
        <v>207</v>
      </c>
      <c r="C21" s="113"/>
      <c r="D21" s="114"/>
      <c r="E21" s="9">
        <v>976503</v>
      </c>
      <c r="F21" s="14" t="s">
        <v>3</v>
      </c>
      <c r="G21" s="1"/>
    </row>
    <row r="22" spans="1:7" x14ac:dyDescent="0.25">
      <c r="A22" s="1"/>
      <c r="B22" s="83" t="s">
        <v>10</v>
      </c>
      <c r="C22" s="84"/>
      <c r="D22" s="90"/>
      <c r="E22" s="9">
        <f>-E21*'Fane 5. Individuelt eff. krav'!G11</f>
        <v>-7684.6298565659044</v>
      </c>
      <c r="F22" s="14" t="s">
        <v>3</v>
      </c>
      <c r="G22" s="1"/>
    </row>
    <row r="23" spans="1:7" x14ac:dyDescent="0.25">
      <c r="A23" s="1"/>
      <c r="B23" s="83" t="s">
        <v>29</v>
      </c>
      <c r="C23" s="84"/>
      <c r="D23" s="90"/>
      <c r="E23" s="9">
        <f>-E21*'Fane 14. Nøgletal'!C27</f>
        <v>-19530.060000000001</v>
      </c>
      <c r="F23" s="14" t="s">
        <v>3</v>
      </c>
      <c r="G23" s="1"/>
    </row>
    <row r="24" spans="1:7" x14ac:dyDescent="0.25">
      <c r="A24" s="1"/>
      <c r="B24" s="92" t="s">
        <v>130</v>
      </c>
      <c r="C24" s="93"/>
      <c r="D24" s="94"/>
      <c r="E24" s="12">
        <f>SUM(E21:E23)*(1+'Fane 14. Nøgletal'!C13)^4</f>
        <v>996468.24819395377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208</v>
      </c>
      <c r="C26" s="93"/>
      <c r="D26" s="93"/>
      <c r="E26" s="93"/>
      <c r="F26" s="94"/>
      <c r="G26" s="1"/>
    </row>
    <row r="27" spans="1:7" x14ac:dyDescent="0.25">
      <c r="A27" s="1"/>
      <c r="B27" s="112" t="s">
        <v>207</v>
      </c>
      <c r="C27" s="113"/>
      <c r="D27" s="114"/>
      <c r="E27" s="9">
        <v>976503</v>
      </c>
      <c r="F27" s="14" t="s">
        <v>3</v>
      </c>
      <c r="G27" s="1"/>
    </row>
    <row r="28" spans="1:7" x14ac:dyDescent="0.25">
      <c r="A28" s="1"/>
      <c r="B28" s="83" t="s">
        <v>10</v>
      </c>
      <c r="C28" s="84"/>
      <c r="D28" s="90"/>
      <c r="E28" s="9">
        <f>-E27*'Fane 5. Individuelt eff. krav'!G11</f>
        <v>-7684.6298565659044</v>
      </c>
      <c r="F28" s="14" t="s">
        <v>3</v>
      </c>
      <c r="G28" s="1"/>
    </row>
    <row r="29" spans="1:7" x14ac:dyDescent="0.25">
      <c r="A29" s="1"/>
      <c r="B29" s="83" t="s">
        <v>29</v>
      </c>
      <c r="C29" s="84"/>
      <c r="D29" s="90"/>
      <c r="E29" s="9">
        <f>-E27*'Fane 14. Nøgletal'!C27</f>
        <v>-19530.060000000001</v>
      </c>
      <c r="F29" s="14" t="s">
        <v>3</v>
      </c>
      <c r="G29" s="1"/>
    </row>
    <row r="30" spans="1:7" x14ac:dyDescent="0.25">
      <c r="A30" s="1"/>
      <c r="B30" s="92" t="s">
        <v>209</v>
      </c>
      <c r="C30" s="93"/>
      <c r="D30" s="94"/>
      <c r="E30" s="12">
        <f>SUM(E27:E29)*(1+'Fane 14. Nøgletal'!C13)^5</f>
        <v>1008625.16082192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</sheetData>
  <sheetProtection algorithmName="SHA-512" hashValue="U8tNtLHAwPu38EMc0G3q/teUR6+/QsEuEvz3zRYG7ilEW15NW/mE5ZM8VpmvjDP1f/oGjCgSxcHF7Va22Odjaw==" saltValue="p0IChv3JBnikd1mLCgtPTQ==" spinCount="100000" sheet="1" objects="1" scenarios="1"/>
  <mergeCells count="21">
    <mergeCell ref="B30:D30"/>
    <mergeCell ref="B26:F26"/>
    <mergeCell ref="B27:D27"/>
    <mergeCell ref="B24:D24"/>
    <mergeCell ref="B21:D21"/>
    <mergeCell ref="B22:D22"/>
    <mergeCell ref="B23:D23"/>
    <mergeCell ref="B28:D28"/>
    <mergeCell ref="B29:D29"/>
    <mergeCell ref="B3:F5"/>
    <mergeCell ref="B8:F8"/>
    <mergeCell ref="B9:D9"/>
    <mergeCell ref="B18:D18"/>
    <mergeCell ref="B20:F20"/>
    <mergeCell ref="B14:F14"/>
    <mergeCell ref="B15:D15"/>
    <mergeCell ref="B12:D12"/>
    <mergeCell ref="B10:D10"/>
    <mergeCell ref="B11:D11"/>
    <mergeCell ref="B16:D16"/>
    <mergeCell ref="B17:D17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8"/>
  <dimension ref="A1:G45"/>
  <sheetViews>
    <sheetView showGridLines="0" view="pageLayout" zoomScaleNormal="100" workbookViewId="0"/>
  </sheetViews>
  <sheetFormatPr defaultColWidth="9.140625" defaultRowHeight="15" x14ac:dyDescent="0.25"/>
  <cols>
    <col min="1" max="1" width="5.42578125" style="2" customWidth="1"/>
    <col min="2" max="2" width="36.42578125" style="2" customWidth="1"/>
    <col min="3" max="3" width="15.5703125" style="2" customWidth="1"/>
    <col min="4" max="4" width="3.28515625" style="2" customWidth="1"/>
    <col min="5" max="5" width="17.140625" style="2" customWidth="1"/>
    <col min="6" max="6" width="3.28515625" style="2" customWidth="1"/>
    <col min="7" max="7" width="5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210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211</v>
      </c>
      <c r="C8" s="93"/>
      <c r="D8" s="93"/>
      <c r="E8" s="93"/>
      <c r="F8" s="94"/>
      <c r="G8" s="1"/>
    </row>
    <row r="9" spans="1:7" ht="15" customHeight="1" x14ac:dyDescent="0.25">
      <c r="A9" s="1"/>
      <c r="B9" s="36" t="s">
        <v>212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270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ht="28.5" customHeight="1" x14ac:dyDescent="0.25">
      <c r="A11" s="1"/>
      <c r="B11" s="21" t="s">
        <v>213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ht="27" customHeight="1" x14ac:dyDescent="0.25">
      <c r="A12" s="1"/>
      <c r="B12" s="21" t="s">
        <v>225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1"/>
      <c r="C14" s="1"/>
      <c r="D14" s="1"/>
      <c r="E14" s="1"/>
      <c r="F14" s="1"/>
      <c r="G14" s="1"/>
    </row>
    <row r="15" spans="1:7" x14ac:dyDescent="0.25">
      <c r="A15" s="1"/>
      <c r="B15" s="1"/>
      <c r="C15" s="1"/>
      <c r="D15" s="1"/>
      <c r="E15" s="1"/>
      <c r="F15" s="1"/>
      <c r="G15" s="1"/>
    </row>
    <row r="16" spans="1:7" x14ac:dyDescent="0.25">
      <c r="A16" s="1"/>
      <c r="B16" s="1"/>
      <c r="C16" s="1"/>
      <c r="D16" s="1"/>
      <c r="E16" s="1"/>
      <c r="F16" s="1"/>
      <c r="G16" s="1"/>
    </row>
    <row r="17" spans="1:7" x14ac:dyDescent="0.25">
      <c r="A17" s="1"/>
      <c r="B17" s="1"/>
      <c r="C17" s="1"/>
      <c r="D17" s="1"/>
      <c r="E17" s="1"/>
      <c r="F17" s="1"/>
      <c r="G17" s="1"/>
    </row>
    <row r="18" spans="1:7" x14ac:dyDescent="0.25">
      <c r="A18" s="1"/>
      <c r="B18" s="1"/>
      <c r="C18" s="1"/>
      <c r="D18" s="1"/>
      <c r="E18" s="1"/>
      <c r="F18" s="1"/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/>
      <c r="B22" s="1"/>
      <c r="C22" s="1"/>
      <c r="D22" s="1"/>
      <c r="E22" s="1"/>
      <c r="F22" s="1"/>
      <c r="G22" s="1"/>
    </row>
    <row r="23" spans="1:7" x14ac:dyDescent="0.25">
      <c r="A23" s="1"/>
      <c r="B23" s="1"/>
      <c r="C23" s="1"/>
      <c r="D23" s="1"/>
      <c r="E23" s="1"/>
      <c r="F23" s="1"/>
      <c r="G23" s="1"/>
    </row>
    <row r="24" spans="1:7" x14ac:dyDescent="0.25">
      <c r="A24" s="1"/>
      <c r="B24" s="1"/>
      <c r="C24" s="1"/>
      <c r="D24" s="1"/>
      <c r="E24" s="1"/>
      <c r="F24" s="1"/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1"/>
      <c r="F27" s="1"/>
      <c r="G27" s="1"/>
    </row>
    <row r="28" spans="1:7" x14ac:dyDescent="0.25">
      <c r="A28" s="1"/>
      <c r="B28" s="1"/>
      <c r="C28" s="1"/>
      <c r="D28" s="1"/>
      <c r="E28" s="1"/>
      <c r="F28" s="1"/>
      <c r="G28" s="1"/>
    </row>
    <row r="29" spans="1:7" x14ac:dyDescent="0.25">
      <c r="A29" s="1"/>
      <c r="B29" s="1"/>
      <c r="C29" s="1"/>
      <c r="D29" s="1"/>
      <c r="E29" s="1"/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</sheetData>
  <sheetProtection algorithmName="SHA-512" hashValue="WYN4qKo8QVw5L1zyt4k9Cq5MEHVJqA/EUveZnrH3U+ztpU6eyXFQq/IBB4oG1faM7qOBFmK4mITYObbLjxX2AA==" saltValue="KT634l2okTWDKLqeZ0i4tw==" spinCount="100000" sheet="1" objects="1" scenarios="1"/>
  <mergeCells count="2">
    <mergeCell ref="B3:F4"/>
    <mergeCell ref="B8:F8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G41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36.42578125" style="2" customWidth="1"/>
    <col min="3" max="3" width="15.7109375" style="2" customWidth="1"/>
    <col min="4" max="4" width="3.28515625" style="2" customWidth="1"/>
    <col min="5" max="5" width="18.42578125" style="2" customWidth="1"/>
    <col min="6" max="6" width="3.28515625" style="2" customWidth="1"/>
    <col min="7" max="7" width="5.14062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166</v>
      </c>
      <c r="C3" s="89"/>
      <c r="D3" s="89"/>
      <c r="E3" s="89"/>
      <c r="F3" s="89"/>
      <c r="G3" s="1"/>
    </row>
    <row r="4" spans="1:7" ht="25.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92" t="s">
        <v>132</v>
      </c>
      <c r="C8" s="93"/>
      <c r="D8" s="93"/>
      <c r="E8" s="93"/>
      <c r="F8" s="94"/>
      <c r="G8" s="1"/>
    </row>
    <row r="9" spans="1:7" ht="15" customHeight="1" x14ac:dyDescent="0.25">
      <c r="A9" s="1"/>
      <c r="B9" s="36" t="s">
        <v>19</v>
      </c>
      <c r="C9" s="36" t="s">
        <v>12</v>
      </c>
      <c r="D9" s="37"/>
      <c r="E9" s="36" t="s">
        <v>38</v>
      </c>
      <c r="F9" s="37"/>
      <c r="G9" s="1"/>
    </row>
    <row r="10" spans="1:7" x14ac:dyDescent="0.25">
      <c r="A10" s="1"/>
      <c r="B10" s="25" t="s">
        <v>271</v>
      </c>
      <c r="C10" s="9">
        <v>0</v>
      </c>
      <c r="D10" s="14" t="s">
        <v>3</v>
      </c>
      <c r="E10" s="9">
        <v>0</v>
      </c>
      <c r="F10" s="14" t="s">
        <v>3</v>
      </c>
      <c r="G10" s="1"/>
    </row>
    <row r="11" spans="1:7" x14ac:dyDescent="0.25">
      <c r="A11" s="1"/>
      <c r="B11" s="38" t="s">
        <v>51</v>
      </c>
      <c r="C11" s="12">
        <f>SUM(C10:C10)</f>
        <v>0</v>
      </c>
      <c r="D11" s="13" t="s">
        <v>3</v>
      </c>
      <c r="E11" s="12">
        <f>SUM(E10:E10)</f>
        <v>0</v>
      </c>
      <c r="F11" s="13" t="s">
        <v>3</v>
      </c>
      <c r="G11" s="1"/>
    </row>
    <row r="12" spans="1:7" x14ac:dyDescent="0.25">
      <c r="A12" s="1"/>
      <c r="B12" s="38" t="s">
        <v>119</v>
      </c>
      <c r="C12" s="12">
        <f>C11*(1+'Fane 14. Nøgletal'!C13)</f>
        <v>0</v>
      </c>
      <c r="D12" s="13" t="s">
        <v>3</v>
      </c>
      <c r="E12" s="12">
        <f>E11*(1+'Fane 14. Nøgletal'!C13)</f>
        <v>0</v>
      </c>
      <c r="F12" s="13" t="s">
        <v>3</v>
      </c>
      <c r="G12" s="1"/>
    </row>
    <row r="13" spans="1:7" x14ac:dyDescent="0.25">
      <c r="A13" s="1"/>
      <c r="B13" s="1"/>
      <c r="C13" s="1"/>
      <c r="D13" s="1"/>
      <c r="E13" s="1"/>
      <c r="F13" s="1"/>
      <c r="G13" s="1"/>
    </row>
    <row r="14" spans="1:7" x14ac:dyDescent="0.25">
      <c r="A14" s="1"/>
      <c r="B14" s="92" t="s">
        <v>131</v>
      </c>
      <c r="C14" s="93"/>
      <c r="D14" s="93"/>
      <c r="E14" s="93"/>
      <c r="F14" s="94"/>
      <c r="G14" s="1"/>
    </row>
    <row r="15" spans="1:7" ht="26.25" x14ac:dyDescent="0.25">
      <c r="A15" s="1"/>
      <c r="B15" s="36" t="s">
        <v>19</v>
      </c>
      <c r="C15" s="36" t="s">
        <v>12</v>
      </c>
      <c r="D15" s="37"/>
      <c r="E15" s="36" t="s">
        <v>38</v>
      </c>
      <c r="F15" s="37"/>
      <c r="G15" s="1"/>
    </row>
    <row r="16" spans="1:7" x14ac:dyDescent="0.25">
      <c r="A16" s="1"/>
      <c r="B16" s="25" t="s">
        <v>271</v>
      </c>
      <c r="C16" s="9">
        <v>0</v>
      </c>
      <c r="D16" s="14" t="s">
        <v>3</v>
      </c>
      <c r="E16" s="9">
        <v>0</v>
      </c>
      <c r="F16" s="14" t="s">
        <v>3</v>
      </c>
      <c r="G16" s="1"/>
    </row>
    <row r="17" spans="1:7" x14ac:dyDescent="0.25">
      <c r="A17" s="1"/>
      <c r="B17" s="38" t="s">
        <v>51</v>
      </c>
      <c r="C17" s="12">
        <f>SUM(C16:C16)</f>
        <v>0</v>
      </c>
      <c r="D17" s="13" t="s">
        <v>3</v>
      </c>
      <c r="E17" s="12">
        <f>SUM(E16:E16)</f>
        <v>0</v>
      </c>
      <c r="F17" s="13" t="s">
        <v>3</v>
      </c>
      <c r="G17" s="1"/>
    </row>
    <row r="18" spans="1:7" x14ac:dyDescent="0.25">
      <c r="A18" s="1"/>
      <c r="B18" s="38" t="s">
        <v>120</v>
      </c>
      <c r="C18" s="12">
        <f>C17*(1+'Fane 14. Nøgletal'!C13)^2</f>
        <v>0</v>
      </c>
      <c r="D18" s="13" t="s">
        <v>3</v>
      </c>
      <c r="E18" s="12">
        <f>E17*(1+'Fane 14. Nøgletal'!C13)^2</f>
        <v>0</v>
      </c>
      <c r="F18" s="13" t="s">
        <v>3</v>
      </c>
      <c r="G18" s="1"/>
    </row>
    <row r="19" spans="1:7" x14ac:dyDescent="0.25">
      <c r="A19" s="1"/>
      <c r="B19" s="1"/>
      <c r="C19" s="1"/>
      <c r="D19" s="1"/>
      <c r="E19" s="1"/>
      <c r="F19" s="1"/>
      <c r="G19" s="1"/>
    </row>
    <row r="20" spans="1:7" x14ac:dyDescent="0.25">
      <c r="A20" s="1"/>
      <c r="B20" s="92" t="s">
        <v>133</v>
      </c>
      <c r="C20" s="93"/>
      <c r="D20" s="93"/>
      <c r="E20" s="93"/>
      <c r="F20" s="94"/>
      <c r="G20" s="1"/>
    </row>
    <row r="21" spans="1:7" ht="26.25" x14ac:dyDescent="0.25">
      <c r="A21" s="1"/>
      <c r="B21" s="36" t="s">
        <v>19</v>
      </c>
      <c r="C21" s="36" t="s">
        <v>12</v>
      </c>
      <c r="D21" s="37"/>
      <c r="E21" s="36" t="s">
        <v>38</v>
      </c>
      <c r="F21" s="37"/>
      <c r="G21" s="1"/>
    </row>
    <row r="22" spans="1:7" x14ac:dyDescent="0.25">
      <c r="A22" s="1"/>
      <c r="B22" s="25" t="s">
        <v>271</v>
      </c>
      <c r="C22" s="9">
        <v>0</v>
      </c>
      <c r="D22" s="14" t="s">
        <v>3</v>
      </c>
      <c r="E22" s="9">
        <v>0</v>
      </c>
      <c r="F22" s="14" t="s">
        <v>3</v>
      </c>
      <c r="G22" s="1"/>
    </row>
    <row r="23" spans="1:7" x14ac:dyDescent="0.25">
      <c r="A23" s="1"/>
      <c r="B23" s="38" t="s">
        <v>51</v>
      </c>
      <c r="C23" s="12">
        <f>SUM(C22:C22)</f>
        <v>0</v>
      </c>
      <c r="D23" s="13" t="s">
        <v>3</v>
      </c>
      <c r="E23" s="12">
        <f>SUM(E22:E22)</f>
        <v>0</v>
      </c>
      <c r="F23" s="13" t="s">
        <v>3</v>
      </c>
      <c r="G23" s="1"/>
    </row>
    <row r="24" spans="1:7" x14ac:dyDescent="0.25">
      <c r="A24" s="1"/>
      <c r="B24" s="38" t="s">
        <v>121</v>
      </c>
      <c r="C24" s="12">
        <f>C23*(1+'Fane 14. Nøgletal'!C13)^3</f>
        <v>0</v>
      </c>
      <c r="D24" s="13" t="s">
        <v>3</v>
      </c>
      <c r="E24" s="12">
        <f>E23*(1+'Fane 14. Nøgletal'!C13)^3</f>
        <v>0</v>
      </c>
      <c r="F24" s="13" t="s">
        <v>3</v>
      </c>
      <c r="G24" s="1"/>
    </row>
    <row r="25" spans="1:7" x14ac:dyDescent="0.25">
      <c r="A25" s="1"/>
      <c r="B25" s="1"/>
      <c r="C25" s="1"/>
      <c r="D25" s="1"/>
      <c r="E25" s="1"/>
      <c r="F25" s="1"/>
      <c r="G25" s="1"/>
    </row>
    <row r="26" spans="1:7" x14ac:dyDescent="0.25">
      <c r="A26" s="1"/>
      <c r="B26" s="92" t="s">
        <v>227</v>
      </c>
      <c r="C26" s="93"/>
      <c r="D26" s="93"/>
      <c r="E26" s="93"/>
      <c r="F26" s="94"/>
      <c r="G26" s="1"/>
    </row>
    <row r="27" spans="1:7" ht="26.25" x14ac:dyDescent="0.25">
      <c r="A27" s="1"/>
      <c r="B27" s="36" t="s">
        <v>19</v>
      </c>
      <c r="C27" s="36" t="s">
        <v>12</v>
      </c>
      <c r="D27" s="37"/>
      <c r="E27" s="36" t="s">
        <v>38</v>
      </c>
      <c r="F27" s="37"/>
      <c r="G27" s="1"/>
    </row>
    <row r="28" spans="1:7" x14ac:dyDescent="0.25">
      <c r="A28" s="1"/>
      <c r="B28" s="25" t="s">
        <v>271</v>
      </c>
      <c r="C28" s="9">
        <v>0</v>
      </c>
      <c r="D28" s="14" t="s">
        <v>3</v>
      </c>
      <c r="E28" s="9">
        <v>0</v>
      </c>
      <c r="F28" s="14" t="s">
        <v>3</v>
      </c>
      <c r="G28" s="1"/>
    </row>
    <row r="29" spans="1:7" x14ac:dyDescent="0.25">
      <c r="A29" s="1"/>
      <c r="B29" s="38" t="s">
        <v>51</v>
      </c>
      <c r="C29" s="12">
        <f>SUM(C28:C28)</f>
        <v>0</v>
      </c>
      <c r="D29" s="13" t="s">
        <v>3</v>
      </c>
      <c r="E29" s="12">
        <f>SUM(E28:E28)</f>
        <v>0</v>
      </c>
      <c r="F29" s="13" t="s">
        <v>3</v>
      </c>
      <c r="G29" s="1"/>
    </row>
    <row r="30" spans="1:7" x14ac:dyDescent="0.25">
      <c r="A30" s="1"/>
      <c r="B30" s="38" t="s">
        <v>228</v>
      </c>
      <c r="C30" s="12">
        <f>C29*(1+'Fane 14. Nøgletal'!C13)^4</f>
        <v>0</v>
      </c>
      <c r="D30" s="13" t="s">
        <v>3</v>
      </c>
      <c r="E30" s="12">
        <f>E29*(1+'Fane 14. Nøgletal'!C13)^4</f>
        <v>0</v>
      </c>
      <c r="F30" s="13" t="s">
        <v>3</v>
      </c>
      <c r="G30" s="1"/>
    </row>
    <row r="31" spans="1:7" x14ac:dyDescent="0.25">
      <c r="A31" s="1"/>
      <c r="B31" s="1"/>
      <c r="C31" s="1"/>
      <c r="D31" s="1"/>
      <c r="E31" s="1"/>
      <c r="F31" s="1"/>
      <c r="G31" s="1"/>
    </row>
    <row r="32" spans="1:7" x14ac:dyDescent="0.25">
      <c r="A32" s="1"/>
      <c r="B32" s="1"/>
      <c r="C32" s="1"/>
      <c r="D32" s="1"/>
      <c r="E32" s="1"/>
      <c r="F32" s="1"/>
      <c r="G32" s="1"/>
    </row>
    <row r="33" spans="1:7" x14ac:dyDescent="0.25">
      <c r="A33" s="1"/>
      <c r="B33" s="1"/>
      <c r="C33" s="1"/>
      <c r="D33" s="1"/>
      <c r="E33" s="1"/>
      <c r="F33" s="1"/>
      <c r="G33" s="1"/>
    </row>
    <row r="34" spans="1:7" x14ac:dyDescent="0.25">
      <c r="A34" s="1"/>
      <c r="B34" s="1"/>
      <c r="C34" s="1"/>
      <c r="D34" s="1"/>
      <c r="E34" s="1"/>
      <c r="F34" s="1"/>
      <c r="G34" s="1"/>
    </row>
    <row r="35" spans="1:7" x14ac:dyDescent="0.25">
      <c r="A35" s="1"/>
      <c r="B35" s="1"/>
      <c r="C35" s="1"/>
      <c r="D35" s="1"/>
      <c r="E35" s="1"/>
      <c r="F35" s="1"/>
      <c r="G35" s="1"/>
    </row>
    <row r="36" spans="1:7" x14ac:dyDescent="0.25">
      <c r="A36" s="1"/>
      <c r="B36" s="1"/>
      <c r="C36" s="1"/>
      <c r="D36" s="1"/>
      <c r="E36" s="1"/>
      <c r="F36" s="1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</sheetData>
  <sheetProtection algorithmName="SHA-512" hashValue="QFksRp7iCFeW43mJMP9xZIWAbA0VV6AZxYmphqAPQWhxTPrT/ccV5o2H11r2IUtMUIGAv3wArhQERpZx8mY6jg==" saltValue="3jAcGMjyfAd+gOsjSMZFdw==" spinCount="100000" sheet="1" objects="1" scenarios="1"/>
  <mergeCells count="5">
    <mergeCell ref="B3:F4"/>
    <mergeCell ref="B8:F8"/>
    <mergeCell ref="B14:F14"/>
    <mergeCell ref="B20:F20"/>
    <mergeCell ref="B26:F26"/>
  </mergeCells>
  <pageMargins left="0.7" right="0.7" top="0.75" bottom="0.75" header="0.3" footer="0.3"/>
  <pageSetup paperSize="9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9"/>
  <dimension ref="A1:D49"/>
  <sheetViews>
    <sheetView showGridLines="0" view="pageLayout" zoomScaleNormal="100" workbookViewId="0"/>
  </sheetViews>
  <sheetFormatPr defaultColWidth="9.140625" defaultRowHeight="15" x14ac:dyDescent="0.25"/>
  <cols>
    <col min="1" max="1" width="11.140625" style="2" customWidth="1"/>
    <col min="2" max="2" width="55.42578125" style="2" customWidth="1"/>
    <col min="3" max="3" width="6.28515625" style="2" customWidth="1"/>
    <col min="4" max="4" width="12.28515625" style="2" customWidth="1"/>
    <col min="5" max="16384" width="9.140625" style="2"/>
  </cols>
  <sheetData>
    <row r="1" spans="1:4" x14ac:dyDescent="0.25">
      <c r="A1" s="1"/>
      <c r="B1" s="1"/>
      <c r="C1" s="1"/>
      <c r="D1" s="1"/>
    </row>
    <row r="2" spans="1:4" x14ac:dyDescent="0.25">
      <c r="A2" s="1"/>
      <c r="B2" s="1"/>
      <c r="C2" s="1"/>
      <c r="D2" s="1"/>
    </row>
    <row r="3" spans="1:4" ht="15" customHeight="1" x14ac:dyDescent="0.25">
      <c r="A3" s="1"/>
      <c r="B3" s="89" t="s">
        <v>257</v>
      </c>
      <c r="C3" s="89"/>
      <c r="D3" s="1"/>
    </row>
    <row r="4" spans="1:4" ht="25.5" customHeight="1" x14ac:dyDescent="0.25">
      <c r="A4" s="1"/>
      <c r="B4" s="89"/>
      <c r="C4" s="89"/>
      <c r="D4" s="1"/>
    </row>
    <row r="5" spans="1:4" x14ac:dyDescent="0.25">
      <c r="A5" s="1"/>
      <c r="B5" s="1"/>
      <c r="C5" s="1"/>
      <c r="D5" s="1"/>
    </row>
    <row r="6" spans="1:4" x14ac:dyDescent="0.25">
      <c r="A6" s="1"/>
      <c r="B6" s="1"/>
      <c r="C6" s="1"/>
      <c r="D6" s="1"/>
    </row>
    <row r="7" spans="1:4" x14ac:dyDescent="0.25">
      <c r="A7" s="1"/>
      <c r="B7" s="1"/>
      <c r="C7" s="1"/>
      <c r="D7" s="1"/>
    </row>
    <row r="8" spans="1:4" x14ac:dyDescent="0.25">
      <c r="A8" s="1"/>
      <c r="B8" s="38" t="s">
        <v>15</v>
      </c>
      <c r="C8" s="20"/>
      <c r="D8" s="1"/>
    </row>
    <row r="9" spans="1:4" x14ac:dyDescent="0.25">
      <c r="A9" s="1"/>
      <c r="B9" s="54" t="s">
        <v>170</v>
      </c>
      <c r="C9" s="26">
        <v>1.2699999999999999E-2</v>
      </c>
      <c r="D9" s="1"/>
    </row>
    <row r="10" spans="1:4" x14ac:dyDescent="0.25">
      <c r="A10" s="1"/>
      <c r="B10" s="54" t="s">
        <v>171</v>
      </c>
      <c r="C10" s="26">
        <v>1.7500000000000002E-2</v>
      </c>
      <c r="D10" s="1"/>
    </row>
    <row r="11" spans="1:4" x14ac:dyDescent="0.25">
      <c r="A11" s="1"/>
      <c r="B11" s="54" t="s">
        <v>24</v>
      </c>
      <c r="C11" s="26">
        <v>1.6899999999999998E-2</v>
      </c>
      <c r="D11" s="1"/>
    </row>
    <row r="12" spans="1:4" x14ac:dyDescent="0.25">
      <c r="A12" s="1"/>
      <c r="B12" s="39" t="s">
        <v>172</v>
      </c>
      <c r="C12" s="40">
        <v>1.9699999999999999E-2</v>
      </c>
      <c r="D12" s="1"/>
    </row>
    <row r="13" spans="1:4" x14ac:dyDescent="0.25">
      <c r="A13" s="1"/>
      <c r="B13" s="39" t="s">
        <v>217</v>
      </c>
      <c r="C13" s="40">
        <v>1.2200000000000001E-2</v>
      </c>
      <c r="D13" s="1"/>
    </row>
    <row r="14" spans="1:4" x14ac:dyDescent="0.25">
      <c r="A14" s="1"/>
      <c r="B14" s="38"/>
      <c r="C14" s="20"/>
      <c r="D14" s="1"/>
    </row>
    <row r="15" spans="1:4" x14ac:dyDescent="0.25">
      <c r="A15" s="1"/>
      <c r="B15" s="1"/>
      <c r="C15" s="1"/>
      <c r="D15" s="1"/>
    </row>
    <row r="16" spans="1:4" x14ac:dyDescent="0.25">
      <c r="A16" s="1"/>
      <c r="B16" s="1"/>
      <c r="C16" s="1"/>
      <c r="D16" s="1"/>
    </row>
    <row r="17" spans="1:4" x14ac:dyDescent="0.25">
      <c r="A17" s="1"/>
      <c r="B17" s="38" t="s">
        <v>153</v>
      </c>
      <c r="C17" s="20"/>
      <c r="D17" s="1"/>
    </row>
    <row r="18" spans="1:4" x14ac:dyDescent="0.25">
      <c r="A18" s="1"/>
      <c r="B18" s="54" t="s">
        <v>173</v>
      </c>
      <c r="C18" s="23">
        <v>9.1000000000000004E-3</v>
      </c>
      <c r="D18" s="1"/>
    </row>
    <row r="19" spans="1:4" x14ac:dyDescent="0.25">
      <c r="A19" s="1"/>
      <c r="B19" s="54" t="s">
        <v>174</v>
      </c>
      <c r="C19" s="23">
        <v>1.77E-2</v>
      </c>
      <c r="D19" s="1"/>
    </row>
    <row r="20" spans="1:4" x14ac:dyDescent="0.25">
      <c r="A20" s="1"/>
      <c r="B20" s="54" t="s">
        <v>175</v>
      </c>
      <c r="C20" s="23">
        <v>8.6999999999999994E-3</v>
      </c>
      <c r="D20" s="1"/>
    </row>
    <row r="21" spans="1:4" x14ac:dyDescent="0.25">
      <c r="A21" s="1"/>
      <c r="B21" s="54" t="s">
        <v>176</v>
      </c>
      <c r="C21" s="41">
        <v>2.8400000000000002E-2</v>
      </c>
      <c r="D21" s="1"/>
    </row>
    <row r="22" spans="1:4" x14ac:dyDescent="0.25">
      <c r="A22" s="1"/>
      <c r="B22" s="54" t="s">
        <v>229</v>
      </c>
      <c r="C22" s="41">
        <v>2.75E-2</v>
      </c>
      <c r="D22" s="1"/>
    </row>
    <row r="23" spans="1:4" x14ac:dyDescent="0.25">
      <c r="A23" s="1"/>
      <c r="B23" s="38"/>
      <c r="C23" s="20"/>
      <c r="D23" s="1"/>
    </row>
    <row r="24" spans="1:4" x14ac:dyDescent="0.25">
      <c r="A24" s="1"/>
      <c r="B24" s="1"/>
      <c r="C24" s="1"/>
      <c r="D24" s="1"/>
    </row>
    <row r="25" spans="1:4" x14ac:dyDescent="0.25">
      <c r="A25" s="1"/>
      <c r="B25" s="1"/>
      <c r="C25" s="1"/>
      <c r="D25" s="1"/>
    </row>
    <row r="26" spans="1:4" x14ac:dyDescent="0.25">
      <c r="A26" s="1"/>
      <c r="B26" s="38" t="s">
        <v>154</v>
      </c>
      <c r="C26" s="20"/>
      <c r="D26" s="1"/>
    </row>
    <row r="27" spans="1:4" x14ac:dyDescent="0.25">
      <c r="A27" s="1"/>
      <c r="B27" s="54" t="s">
        <v>177</v>
      </c>
      <c r="C27" s="26">
        <v>0.02</v>
      </c>
      <c r="D27" s="1"/>
    </row>
    <row r="28" spans="1:4" x14ac:dyDescent="0.25">
      <c r="A28" s="1"/>
      <c r="B28" s="38"/>
      <c r="C28" s="20"/>
      <c r="D28" s="1"/>
    </row>
    <row r="29" spans="1:4" x14ac:dyDescent="0.25">
      <c r="A29" s="1"/>
      <c r="B29" s="1"/>
      <c r="C29" s="1"/>
      <c r="D29" s="1"/>
    </row>
    <row r="30" spans="1:4" x14ac:dyDescent="0.25">
      <c r="A30" s="1"/>
      <c r="B30" s="1"/>
      <c r="C30" s="1"/>
      <c r="D30" s="1"/>
    </row>
    <row r="31" spans="1:4" x14ac:dyDescent="0.25">
      <c r="A31" s="1"/>
      <c r="B31" s="1"/>
      <c r="C31" s="1"/>
      <c r="D31" s="1"/>
    </row>
    <row r="32" spans="1:4" x14ac:dyDescent="0.25">
      <c r="A32" s="1"/>
      <c r="B32" s="1"/>
      <c r="C32" s="1"/>
      <c r="D32" s="1"/>
    </row>
    <row r="33" spans="1:4" x14ac:dyDescent="0.25">
      <c r="A33" s="1"/>
      <c r="B33" s="1"/>
      <c r="C33" s="1"/>
      <c r="D33" s="1"/>
    </row>
    <row r="34" spans="1:4" x14ac:dyDescent="0.25">
      <c r="A34" s="1"/>
      <c r="B34" s="1"/>
      <c r="C34" s="1"/>
      <c r="D34" s="1"/>
    </row>
    <row r="35" spans="1:4" x14ac:dyDescent="0.25">
      <c r="A35" s="1"/>
      <c r="B35" s="1"/>
      <c r="C35" s="1"/>
      <c r="D35" s="1"/>
    </row>
    <row r="36" spans="1:4" x14ac:dyDescent="0.25">
      <c r="A36" s="1"/>
      <c r="B36" s="1"/>
      <c r="C36" s="1"/>
      <c r="D36" s="1"/>
    </row>
    <row r="37" spans="1:4" x14ac:dyDescent="0.25">
      <c r="A37" s="1"/>
      <c r="B37" s="1"/>
      <c r="C37" s="1"/>
      <c r="D37" s="1"/>
    </row>
    <row r="38" spans="1:4" x14ac:dyDescent="0.25">
      <c r="A38" s="1"/>
      <c r="B38" s="1"/>
      <c r="C38" s="1"/>
      <c r="D38" s="1"/>
    </row>
    <row r="39" spans="1:4" x14ac:dyDescent="0.25">
      <c r="A39" s="1"/>
      <c r="B39" s="1"/>
      <c r="C39" s="1"/>
      <c r="D39" s="1"/>
    </row>
    <row r="40" spans="1:4" x14ac:dyDescent="0.25">
      <c r="A40" s="1"/>
      <c r="B40" s="1"/>
      <c r="C40" s="1"/>
      <c r="D40" s="1"/>
    </row>
    <row r="41" spans="1:4" x14ac:dyDescent="0.25">
      <c r="A41" s="1"/>
      <c r="B41" s="1"/>
      <c r="C41" s="1"/>
      <c r="D41" s="1"/>
    </row>
    <row r="42" spans="1:4" x14ac:dyDescent="0.25">
      <c r="A42" s="1"/>
      <c r="B42" s="1"/>
      <c r="C42" s="1"/>
      <c r="D42" s="1"/>
    </row>
    <row r="43" spans="1:4" x14ac:dyDescent="0.25">
      <c r="A43" s="1"/>
      <c r="B43" s="1"/>
      <c r="C43" s="1"/>
      <c r="D43" s="1"/>
    </row>
    <row r="44" spans="1:4" x14ac:dyDescent="0.25">
      <c r="A44" s="1"/>
      <c r="B44" s="1"/>
      <c r="C44" s="1"/>
      <c r="D44" s="1"/>
    </row>
    <row r="45" spans="1:4" x14ac:dyDescent="0.25">
      <c r="A45" s="1"/>
      <c r="B45" s="1"/>
      <c r="C45" s="1"/>
      <c r="D45" s="1"/>
    </row>
    <row r="46" spans="1:4" x14ac:dyDescent="0.25">
      <c r="A46" s="1"/>
      <c r="B46" s="1"/>
      <c r="C46" s="1"/>
      <c r="D46" s="1"/>
    </row>
    <row r="47" spans="1:4" x14ac:dyDescent="0.25">
      <c r="A47" s="1"/>
      <c r="B47" s="1"/>
      <c r="C47" s="1"/>
      <c r="D47" s="1"/>
    </row>
    <row r="48" spans="1:4" x14ac:dyDescent="0.25">
      <c r="A48" s="1"/>
      <c r="B48" s="1"/>
      <c r="C48" s="1"/>
      <c r="D48" s="1"/>
    </row>
    <row r="49" spans="1:4" x14ac:dyDescent="0.25">
      <c r="A49" s="1"/>
      <c r="B49" s="1"/>
      <c r="C49" s="1"/>
      <c r="D49" s="1"/>
    </row>
  </sheetData>
  <sheetProtection algorithmName="SHA-512" hashValue="ZRRMHtdRZMLYILm7Dpc4qXnCoCLq11mOGhSo+ZdKZqwGvuw6t35APNwu2x/Nlu2gctFerCPKrhUwlbcsx5MQYg==" saltValue="E6aWN6aJKlEAGRjygnhGLA==" spinCount="100000" sheet="1" objects="1" scenarios="1"/>
  <mergeCells count="1">
    <mergeCell ref="B3:C4"/>
  </mergeCells>
  <pageMargins left="0.8125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E47"/>
  <sheetViews>
    <sheetView showGridLines="0" view="pageLayout" zoomScaleNormal="100" workbookViewId="0"/>
  </sheetViews>
  <sheetFormatPr defaultColWidth="9.140625" defaultRowHeight="15" x14ac:dyDescent="0.25"/>
  <cols>
    <col min="1" max="1" width="6.5703125" style="2" customWidth="1"/>
    <col min="2" max="2" width="58.5703125" style="2" customWidth="1"/>
    <col min="3" max="3" width="12.5703125" style="2" customWidth="1"/>
    <col min="4" max="4" width="2.85546875" style="2" bestFit="1" customWidth="1"/>
    <col min="5" max="5" width="6.28515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185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x14ac:dyDescent="0.25">
      <c r="A9" s="1"/>
      <c r="B9" s="33" t="s">
        <v>27</v>
      </c>
      <c r="C9" s="7">
        <f>'Fane 3. Omkostninger i ØR2020'!E20</f>
        <v>243839454.78668582</v>
      </c>
      <c r="D9" s="8" t="s">
        <v>3</v>
      </c>
      <c r="E9" s="1"/>
    </row>
    <row r="10" spans="1:5" ht="17.100000000000001" customHeight="1" x14ac:dyDescent="0.25">
      <c r="A10" s="1"/>
      <c r="B10" s="48" t="s">
        <v>48</v>
      </c>
      <c r="C10" s="7">
        <f>'Fane 10.1. Varige tillæg'!C15</f>
        <v>1055224.5732</v>
      </c>
      <c r="D10" s="8" t="s">
        <v>3</v>
      </c>
      <c r="E10" s="1"/>
    </row>
    <row r="11" spans="1:5" ht="17.100000000000001" customHeight="1" x14ac:dyDescent="0.25">
      <c r="A11" s="1"/>
      <c r="B11" s="48" t="s">
        <v>49</v>
      </c>
      <c r="C11" s="9">
        <f>'Fane 10.1. Varige tillæg'!E15</f>
        <v>16178889.756721999</v>
      </c>
      <c r="D11" s="8" t="s">
        <v>3</v>
      </c>
      <c r="E11" s="1"/>
    </row>
    <row r="12" spans="1:5" ht="17.100000000000001" customHeight="1" x14ac:dyDescent="0.25">
      <c r="A12" s="1"/>
      <c r="B12" s="48" t="s">
        <v>32</v>
      </c>
      <c r="C12" s="9">
        <f>-'Fane 13. Bortfald'!C12</f>
        <v>0</v>
      </c>
      <c r="D12" s="8" t="s">
        <v>3</v>
      </c>
      <c r="E12" s="1"/>
    </row>
    <row r="13" spans="1:5" ht="17.100000000000001" customHeight="1" x14ac:dyDescent="0.25">
      <c r="A13" s="1"/>
      <c r="B13" s="48" t="s">
        <v>31</v>
      </c>
      <c r="C13" s="9">
        <f>-'Fane 13. Bortfald'!E12</f>
        <v>0</v>
      </c>
      <c r="D13" s="8" t="s">
        <v>3</v>
      </c>
      <c r="E13" s="1"/>
    </row>
    <row r="14" spans="1:5" ht="17.100000000000001" customHeight="1" x14ac:dyDescent="0.25">
      <c r="A14" s="1"/>
      <c r="B14" s="48" t="s">
        <v>186</v>
      </c>
      <c r="C14" s="9">
        <f>'Fane 12. Tilknyttet virksomhed'!C12</f>
        <v>0</v>
      </c>
      <c r="D14" s="8" t="s">
        <v>3</v>
      </c>
      <c r="E14" s="1"/>
    </row>
    <row r="15" spans="1:5" ht="17.100000000000001" customHeight="1" x14ac:dyDescent="0.25">
      <c r="A15" s="1"/>
      <c r="B15" s="48" t="s">
        <v>187</v>
      </c>
      <c r="C15" s="9">
        <f>'Fane 12. Tilknyttet virksomhed'!E12</f>
        <v>0</v>
      </c>
      <c r="D15" s="8" t="s">
        <v>3</v>
      </c>
      <c r="E15" s="1"/>
    </row>
    <row r="16" spans="1:5" ht="17.100000000000001" customHeight="1" x14ac:dyDescent="0.25">
      <c r="A16" s="1"/>
      <c r="B16" s="48" t="s">
        <v>20</v>
      </c>
      <c r="C16" s="9">
        <f>C9*'Fane 14. Nøgletal'!C12+SUM(C10:C15)*'Fane 14. Nøgletal'!C13</f>
        <v>5013893.4541227594</v>
      </c>
      <c r="D16" s="8" t="s">
        <v>3</v>
      </c>
      <c r="E16" s="1"/>
    </row>
    <row r="17" spans="1:5" ht="17.100000000000001" customHeight="1" x14ac:dyDescent="0.25">
      <c r="A17" s="1"/>
      <c r="B17" s="48" t="s">
        <v>10</v>
      </c>
      <c r="C17" s="9">
        <f>-SUM(C9:C16)*'Fane 5. Individuelt eff. krav'!G11</f>
        <v>-2093986.0495348184</v>
      </c>
      <c r="D17" s="8" t="s">
        <v>3</v>
      </c>
      <c r="E17" s="1"/>
    </row>
    <row r="18" spans="1:5" ht="17.100000000000001" customHeight="1" x14ac:dyDescent="0.25">
      <c r="A18" s="1"/>
      <c r="B18" s="48" t="s">
        <v>29</v>
      </c>
      <c r="C18" s="9">
        <f>-'Fane 4.1. Gen. krav - drift'!G34</f>
        <v>-1900905.3168150592</v>
      </c>
      <c r="D18" s="8" t="s">
        <v>3</v>
      </c>
      <c r="E18" s="1"/>
    </row>
    <row r="19" spans="1:5" ht="17.100000000000001" customHeight="1" x14ac:dyDescent="0.25">
      <c r="A19" s="1"/>
      <c r="B19" s="48" t="s">
        <v>30</v>
      </c>
      <c r="C19" s="9">
        <f>-'Fane 4.2. Gen. krav - anlæg'!G31</f>
        <v>-4971321.8747927435</v>
      </c>
      <c r="D19" s="8" t="s">
        <v>3</v>
      </c>
      <c r="E19" s="1"/>
    </row>
    <row r="20" spans="1:5" ht="17.100000000000001" customHeight="1" x14ac:dyDescent="0.25">
      <c r="A20" s="1"/>
      <c r="B20" s="52" t="s">
        <v>22</v>
      </c>
      <c r="C20" s="10">
        <f>SUM(C9:C19)</f>
        <v>257121249.32958794</v>
      </c>
      <c r="D20" s="11" t="s">
        <v>3</v>
      </c>
      <c r="E20" s="1"/>
    </row>
    <row r="21" spans="1:5" ht="15" customHeight="1" x14ac:dyDescent="0.25">
      <c r="A21" s="1"/>
      <c r="B21" s="38" t="s">
        <v>13</v>
      </c>
      <c r="C21" s="32"/>
      <c r="D21" s="20"/>
      <c r="E21" s="1"/>
    </row>
    <row r="22" spans="1:5" ht="15" customHeight="1" x14ac:dyDescent="0.25">
      <c r="A22" s="1"/>
      <c r="B22" s="36" t="s">
        <v>13</v>
      </c>
      <c r="C22" s="10">
        <f>'Fane 6. Ikke-påvirkelige omk.'!C16+'Fane 6. Ikke-påvirkelige omk.'!C20+'Fane 6. Ikke-påvirkelige omk.'!C28</f>
        <v>6570931.2809343841</v>
      </c>
      <c r="D22" s="11" t="s">
        <v>3</v>
      </c>
      <c r="E22" s="1"/>
    </row>
    <row r="23" spans="1:5" ht="15" customHeight="1" x14ac:dyDescent="0.25">
      <c r="A23" s="1"/>
      <c r="B23" s="38" t="s">
        <v>114</v>
      </c>
      <c r="C23" s="32"/>
      <c r="D23" s="20"/>
      <c r="E23" s="1"/>
    </row>
    <row r="24" spans="1:5" ht="15" customHeight="1" x14ac:dyDescent="0.25">
      <c r="A24" s="1"/>
      <c r="B24" s="52" t="s">
        <v>114</v>
      </c>
      <c r="C24" s="10">
        <f>'Fane 11. Periodevise driftsomk.'!E12</f>
        <v>989776.13736654539</v>
      </c>
      <c r="D24" s="11" t="s">
        <v>3</v>
      </c>
      <c r="E24" s="1"/>
    </row>
    <row r="25" spans="1:5" ht="15" customHeight="1" x14ac:dyDescent="0.25">
      <c r="A25" s="1"/>
      <c r="B25" s="38" t="s">
        <v>113</v>
      </c>
      <c r="C25" s="32"/>
      <c r="D25" s="20"/>
      <c r="E25" s="1"/>
    </row>
    <row r="26" spans="1:5" ht="15" customHeight="1" x14ac:dyDescent="0.25">
      <c r="A26" s="1"/>
      <c r="B26" s="48" t="s">
        <v>109</v>
      </c>
      <c r="C26" s="9">
        <f>'Fane 10.2. Engangstillæg'!C15</f>
        <v>3610056.0772327408</v>
      </c>
      <c r="D26" s="8" t="s">
        <v>3</v>
      </c>
      <c r="E26" s="1"/>
    </row>
    <row r="27" spans="1:5" ht="15" customHeight="1" x14ac:dyDescent="0.25">
      <c r="A27" s="1"/>
      <c r="B27" s="48" t="s">
        <v>110</v>
      </c>
      <c r="C27" s="9">
        <f>'Fane 10.2. Engangstillæg'!E15</f>
        <v>479299.21795306617</v>
      </c>
      <c r="D27" s="8" t="s">
        <v>3</v>
      </c>
      <c r="E27" s="1"/>
    </row>
    <row r="28" spans="1:5" x14ac:dyDescent="0.25">
      <c r="A28" s="1"/>
      <c r="B28" s="52" t="s">
        <v>115</v>
      </c>
      <c r="C28" s="10">
        <f>SUM(C26:C27)</f>
        <v>4089355.2951858072</v>
      </c>
      <c r="D28" s="11" t="s">
        <v>3</v>
      </c>
      <c r="E28" s="1"/>
    </row>
    <row r="29" spans="1:5" x14ac:dyDescent="0.25">
      <c r="A29" s="1"/>
      <c r="B29" s="38" t="s">
        <v>252</v>
      </c>
      <c r="C29" s="32"/>
      <c r="D29" s="20"/>
      <c r="E29" s="1"/>
    </row>
    <row r="30" spans="1:5" x14ac:dyDescent="0.25">
      <c r="A30" s="1"/>
      <c r="B30" s="36" t="s">
        <v>244</v>
      </c>
      <c r="C30" s="10">
        <f>'Fane 7. Kontrol af ØR2019'!E32</f>
        <v>-7564533.6382150352</v>
      </c>
      <c r="D30" s="11" t="s">
        <v>3</v>
      </c>
      <c r="E30" s="1"/>
    </row>
    <row r="31" spans="1:5" ht="15" customHeight="1" x14ac:dyDescent="0.25">
      <c r="A31" s="1"/>
      <c r="B31" s="38" t="s">
        <v>184</v>
      </c>
      <c r="C31" s="32"/>
      <c r="D31" s="20"/>
      <c r="E31" s="1"/>
    </row>
    <row r="32" spans="1:5" x14ac:dyDescent="0.25">
      <c r="A32" s="1"/>
      <c r="B32" s="36" t="s">
        <v>184</v>
      </c>
      <c r="C32" s="10">
        <f>'Fane 8. Korrektion af ØR2019'!E17</f>
        <v>0</v>
      </c>
      <c r="D32" s="11" t="s">
        <v>3</v>
      </c>
      <c r="E32" s="1"/>
    </row>
    <row r="33" spans="1:5" x14ac:dyDescent="0.25">
      <c r="A33" s="1"/>
      <c r="B33" s="38" t="s">
        <v>35</v>
      </c>
      <c r="C33" s="34">
        <f>SUM(C32,C30,C28,C24,C22,C20)</f>
        <v>261206778.40485963</v>
      </c>
      <c r="D33" s="35" t="s">
        <v>3</v>
      </c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</sheetData>
  <sheetProtection algorithmName="SHA-512" hashValue="cK8E+9PZojeLLPIk/R458Z8omrr0MNXsjcqK4msWaodfbCJomFcYJXDk9Cojin+kfB+MnTcPLOLYdrBys/ZOlw==" saltValue="Y6jmk2pVHLFJF3K9uqIarw==" spinCount="100000" sheet="1" objects="1" scenarios="1"/>
  <mergeCells count="1">
    <mergeCell ref="B3:D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0.85546875" style="2" customWidth="1"/>
    <col min="3" max="3" width="12.2851562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188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28</v>
      </c>
      <c r="C9" s="7">
        <f>'Fane 2.1. Økonomisk ramme 2021'!C20</f>
        <v>257121249.32958794</v>
      </c>
      <c r="D9" s="8" t="s">
        <v>3</v>
      </c>
      <c r="E9" s="1"/>
    </row>
    <row r="10" spans="1:5" ht="15" customHeight="1" x14ac:dyDescent="0.25">
      <c r="A10" s="1"/>
      <c r="B10" s="48" t="s">
        <v>32</v>
      </c>
      <c r="C10" s="7">
        <f>-'Fane 13. Bortfald'!C18</f>
        <v>0</v>
      </c>
      <c r="D10" s="8" t="s">
        <v>3</v>
      </c>
      <c r="E10" s="1"/>
    </row>
    <row r="11" spans="1:5" ht="15" customHeight="1" x14ac:dyDescent="0.25">
      <c r="A11" s="1"/>
      <c r="B11" s="48" t="s">
        <v>31</v>
      </c>
      <c r="C11" s="7">
        <f>-'Fane 13. Bortfald'!E18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3136879.2418209729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-2048111.869839434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drift'!G40</f>
        <v>-1885614.4344465989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anlæg'!G37</f>
        <v>-4748574.5586312702</v>
      </c>
      <c r="D15" s="8" t="s">
        <v>3</v>
      </c>
      <c r="E15" s="1"/>
    </row>
    <row r="16" spans="1:5" ht="15" customHeight="1" x14ac:dyDescent="0.25">
      <c r="A16" s="1"/>
      <c r="B16" s="31" t="s">
        <v>22</v>
      </c>
      <c r="C16" s="10">
        <f>SUM(C9:C15)</f>
        <v>251575827.70849159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Nøgletal'!C13)+'Fane 6. Ikke-påvirkelige omk.'!C21+'Fane 6. Ikke-påvirkelige omk.'!C29</f>
        <v>6651096.6425617831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driftsomk.'!E18</f>
        <v>984457.86227420846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Engangstillæg'!C23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Engangstillæg'!E23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ht="15" customHeight="1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36</v>
      </c>
      <c r="C27" s="12">
        <f>SUM(C16,C18,C20,C24,C26)</f>
        <v>259211382.21332759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cQipaD8sxtL0dH9E1ixEQq6RxIZA0uuKa9t0UQqRcsnJl5Logy/ZLTt32YKwGoBLrh45+uEFVYeRs+LV67RMZA==" saltValue="LLz+hyZnaWG/Kw6YQ5tMO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1406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189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190</v>
      </c>
      <c r="C9" s="7">
        <f>'Fane 2.2. Økonomisk ramme 2022'!C16</f>
        <v>251575827.70849159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Bortfald'!C24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Bortfald'!E24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3069225.0980435978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-2003939.5430673554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drift'!G46</f>
        <v>-1870446.5519359102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anlæg'!G43</f>
        <v>-4674328.2211197913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246096338.49041212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Nøgletal'!C13)^2+'Fane 6. Ikke-påvirkelige omk.'!C22+'Fane 6. Ikke-påvirkelige omk.'!C30</f>
        <v>6732240.0216010371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driftsomk.'!E24</f>
        <v>996468.24819395377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Engangstillæg'!C31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Engangstillæg'!E31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252</v>
      </c>
      <c r="C25" s="32"/>
      <c r="D25" s="20"/>
      <c r="E25" s="1"/>
    </row>
    <row r="26" spans="1:5" x14ac:dyDescent="0.25">
      <c r="A26" s="1"/>
      <c r="B26" s="36" t="s">
        <v>244</v>
      </c>
      <c r="C26" s="10">
        <f>'Fane 7. Kontrol af ØR2019'!E40</f>
        <v>0</v>
      </c>
      <c r="D26" s="11" t="s">
        <v>3</v>
      </c>
      <c r="E26" s="1"/>
    </row>
    <row r="27" spans="1:5" x14ac:dyDescent="0.25">
      <c r="A27" s="1"/>
      <c r="B27" s="38" t="s">
        <v>124</v>
      </c>
      <c r="C27" s="12">
        <f>SUM(C16,C18,C20,C24,C26)</f>
        <v>253825046.76020712</v>
      </c>
      <c r="D27" s="13" t="s">
        <v>3</v>
      </c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OVjs2eFrEoaaTW/NNRbL3njhZcoQyUCQf5xrPT+UAg3+tR3IPvsyvuhtw793TuDHsCT7UoJ7nAykYVh8j10xzQ==" saltValue="V/JRgf/44Fr+3qFsWgaemw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E49"/>
  <sheetViews>
    <sheetView showGridLines="0" view="pageLayout" zoomScaleNormal="100" workbookViewId="0"/>
  </sheetViews>
  <sheetFormatPr defaultColWidth="9.140625" defaultRowHeight="15" x14ac:dyDescent="0.25"/>
  <cols>
    <col min="1" max="1" width="5.140625" style="2" customWidth="1"/>
    <col min="2" max="2" width="62.5703125" style="2" customWidth="1"/>
    <col min="3" max="3" width="10.85546875" style="2" bestFit="1" customWidth="1"/>
    <col min="4" max="4" width="3.28515625" style="2" customWidth="1"/>
    <col min="5" max="5" width="5.140625" style="2" customWidth="1"/>
    <col min="6" max="16384" width="9.140625" style="2"/>
  </cols>
  <sheetData>
    <row r="1" spans="1:5" x14ac:dyDescent="0.25">
      <c r="A1" s="1"/>
      <c r="B1" s="1"/>
      <c r="C1" s="1"/>
      <c r="D1" s="1"/>
      <c r="E1" s="1"/>
    </row>
    <row r="2" spans="1:5" x14ac:dyDescent="0.25">
      <c r="A2" s="1"/>
      <c r="B2" s="1"/>
      <c r="C2" s="1"/>
      <c r="D2" s="1"/>
      <c r="E2" s="1"/>
    </row>
    <row r="3" spans="1:5" ht="15" customHeight="1" x14ac:dyDescent="0.25">
      <c r="A3" s="1"/>
      <c r="B3" s="78" t="s">
        <v>191</v>
      </c>
      <c r="C3" s="78"/>
      <c r="D3" s="78"/>
      <c r="E3" s="1"/>
    </row>
    <row r="4" spans="1:5" ht="15" customHeight="1" x14ac:dyDescent="0.25">
      <c r="A4" s="1"/>
      <c r="B4" s="78"/>
      <c r="C4" s="78"/>
      <c r="D4" s="78"/>
      <c r="E4" s="1"/>
    </row>
    <row r="5" spans="1:5" x14ac:dyDescent="0.25">
      <c r="A5" s="1"/>
      <c r="B5" s="79" t="s">
        <v>23</v>
      </c>
      <c r="C5" s="79"/>
      <c r="D5" s="79"/>
      <c r="E5" s="1"/>
    </row>
    <row r="6" spans="1:5" x14ac:dyDescent="0.25">
      <c r="A6" s="1"/>
      <c r="B6" s="47"/>
      <c r="C6" s="47"/>
      <c r="D6" s="47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38" t="s">
        <v>14</v>
      </c>
      <c r="C8" s="32"/>
      <c r="D8" s="20"/>
      <c r="E8" s="1"/>
    </row>
    <row r="9" spans="1:5" ht="15" customHeight="1" x14ac:dyDescent="0.25">
      <c r="A9" s="1"/>
      <c r="B9" s="33" t="s">
        <v>192</v>
      </c>
      <c r="C9" s="7">
        <f>'Fane 2.3. Økonomisk ramme 2023'!C16</f>
        <v>246096338.49041212</v>
      </c>
      <c r="D9" s="8" t="s">
        <v>3</v>
      </c>
      <c r="E9" s="1"/>
    </row>
    <row r="10" spans="1:5" ht="15" customHeight="1" x14ac:dyDescent="0.25">
      <c r="A10" s="1"/>
      <c r="B10" s="33" t="s">
        <v>32</v>
      </c>
      <c r="C10" s="7">
        <f>-'Fane 13. Bortfald'!C30</f>
        <v>0</v>
      </c>
      <c r="D10" s="8" t="s">
        <v>3</v>
      </c>
      <c r="E10" s="1"/>
    </row>
    <row r="11" spans="1:5" ht="15" customHeight="1" x14ac:dyDescent="0.25">
      <c r="A11" s="1"/>
      <c r="B11" s="33" t="s">
        <v>31</v>
      </c>
      <c r="C11" s="7">
        <f>-'Fane 13. Bortfald'!E30</f>
        <v>0</v>
      </c>
      <c r="D11" s="8" t="s">
        <v>3</v>
      </c>
      <c r="E11" s="1"/>
    </row>
    <row r="12" spans="1:5" ht="15" customHeight="1" x14ac:dyDescent="0.25">
      <c r="A12" s="1"/>
      <c r="B12" s="30" t="s">
        <v>20</v>
      </c>
      <c r="C12" s="9">
        <f>SUM(C9:C11)*'Fane 14. Nøgletal'!C13</f>
        <v>3002375.3295830279</v>
      </c>
      <c r="D12" s="8" t="s">
        <v>3</v>
      </c>
      <c r="E12" s="1"/>
    </row>
    <row r="13" spans="1:5" ht="15" customHeight="1" x14ac:dyDescent="0.25">
      <c r="A13" s="1"/>
      <c r="B13" s="30" t="s">
        <v>10</v>
      </c>
      <c r="C13" s="9">
        <f>-SUM(C9:C12)*'Fane 5. Individuelt eff. krav'!G11</f>
        <v>-1960292.404071775</v>
      </c>
      <c r="D13" s="8" t="s">
        <v>3</v>
      </c>
      <c r="E13" s="1"/>
    </row>
    <row r="14" spans="1:5" ht="15" customHeight="1" x14ac:dyDescent="0.25">
      <c r="A14" s="1"/>
      <c r="B14" s="30" t="s">
        <v>29</v>
      </c>
      <c r="C14" s="9">
        <f>-'Fane 4.1. Gen. krav - drift'!G54</f>
        <v>-1855400.679872138</v>
      </c>
      <c r="D14" s="8" t="s">
        <v>3</v>
      </c>
      <c r="E14" s="1"/>
    </row>
    <row r="15" spans="1:5" ht="15" customHeight="1" x14ac:dyDescent="0.25">
      <c r="A15" s="1"/>
      <c r="B15" s="30" t="s">
        <v>30</v>
      </c>
      <c r="C15" s="9">
        <f>-'Fane 4.2. Gen. krav - anlæg'!G49</f>
        <v>-4601242.7622184725</v>
      </c>
      <c r="D15" s="8" t="s">
        <v>3</v>
      </c>
      <c r="E15" s="1"/>
    </row>
    <row r="16" spans="1:5" x14ac:dyDescent="0.25">
      <c r="A16" s="1"/>
      <c r="B16" s="31" t="s">
        <v>22</v>
      </c>
      <c r="C16" s="10">
        <f>SUM(C9:C15)</f>
        <v>240681777.97383276</v>
      </c>
      <c r="D16" s="11" t="s">
        <v>3</v>
      </c>
      <c r="E16" s="1"/>
    </row>
    <row r="17" spans="1:5" x14ac:dyDescent="0.25">
      <c r="A17" s="1"/>
      <c r="B17" s="38" t="s">
        <v>13</v>
      </c>
      <c r="C17" s="32"/>
      <c r="D17" s="20"/>
      <c r="E17" s="1"/>
    </row>
    <row r="18" spans="1:5" ht="15" customHeight="1" x14ac:dyDescent="0.25">
      <c r="A18" s="1"/>
      <c r="B18" s="36" t="s">
        <v>13</v>
      </c>
      <c r="C18" s="10">
        <f>'Fane 6. Ikke-påvirkelige omk.'!C16*(1+'Fane 14. Nøgletal'!C13)^3+'Fane 6. Ikke-påvirkelige omk.'!C23+'Fane 6. Ikke-påvirkelige omk.'!C31</f>
        <v>6814373.3498645704</v>
      </c>
      <c r="D18" s="11" t="s">
        <v>3</v>
      </c>
      <c r="E18" s="1"/>
    </row>
    <row r="19" spans="1:5" ht="15" customHeight="1" x14ac:dyDescent="0.25">
      <c r="A19" s="1"/>
      <c r="B19" s="38" t="s">
        <v>114</v>
      </c>
      <c r="C19" s="32"/>
      <c r="D19" s="20"/>
      <c r="E19" s="1"/>
    </row>
    <row r="20" spans="1:5" ht="15" customHeight="1" x14ac:dyDescent="0.25">
      <c r="A20" s="1"/>
      <c r="B20" s="52" t="s">
        <v>114</v>
      </c>
      <c r="C20" s="10">
        <f>'Fane 11. Periodevise driftsomk.'!E30</f>
        <v>1008625.16082192</v>
      </c>
      <c r="D20" s="11" t="s">
        <v>3</v>
      </c>
      <c r="E20" s="1"/>
    </row>
    <row r="21" spans="1:5" ht="15" customHeight="1" x14ac:dyDescent="0.25">
      <c r="A21" s="1"/>
      <c r="B21" s="38" t="s">
        <v>113</v>
      </c>
      <c r="C21" s="32"/>
      <c r="D21" s="20"/>
      <c r="E21" s="1"/>
    </row>
    <row r="22" spans="1:5" ht="15" customHeight="1" x14ac:dyDescent="0.25">
      <c r="A22" s="1"/>
      <c r="B22" s="48" t="s">
        <v>109</v>
      </c>
      <c r="C22" s="9">
        <f>'Fane 10.2. Engangstillæg'!C39</f>
        <v>0</v>
      </c>
      <c r="D22" s="8" t="s">
        <v>3</v>
      </c>
      <c r="E22" s="1"/>
    </row>
    <row r="23" spans="1:5" ht="15" customHeight="1" x14ac:dyDescent="0.25">
      <c r="A23" s="1"/>
      <c r="B23" s="48" t="s">
        <v>110</v>
      </c>
      <c r="C23" s="9">
        <f>'Fane 10.2. Engangstillæg'!E39</f>
        <v>0</v>
      </c>
      <c r="D23" s="8" t="s">
        <v>3</v>
      </c>
      <c r="E23" s="1"/>
    </row>
    <row r="24" spans="1:5" ht="15" customHeight="1" x14ac:dyDescent="0.25">
      <c r="A24" s="1"/>
      <c r="B24" s="52" t="s">
        <v>115</v>
      </c>
      <c r="C24" s="10">
        <f>SUM(C22:C23)</f>
        <v>0</v>
      </c>
      <c r="D24" s="11" t="s">
        <v>3</v>
      </c>
      <c r="E24" s="1"/>
    </row>
    <row r="25" spans="1:5" x14ac:dyDescent="0.25">
      <c r="A25" s="1"/>
      <c r="B25" s="38" t="s">
        <v>193</v>
      </c>
      <c r="C25" s="12">
        <f>SUM(C16,C18,C20,C24)</f>
        <v>248504776.48451924</v>
      </c>
      <c r="D25" s="13" t="s">
        <v>3</v>
      </c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</sheetData>
  <sheetProtection algorithmName="SHA-512" hashValue="J2Ox3yBpBrlS3xrLUQ4gKUkT9r6N3rJxR5hHztixBFvG0t7CY28xvcb0EpyauhJSWamqtohyMX7j1RP96RMgqg==" saltValue="adQyLbZrulcAVscKpPqjeg==" spinCount="100000" sheet="1" objects="1" scenarios="1"/>
  <mergeCells count="2">
    <mergeCell ref="B3:D4"/>
    <mergeCell ref="B5:D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G52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2" width="12.28515625" style="2" customWidth="1"/>
    <col min="3" max="3" width="12" style="2" customWidth="1"/>
    <col min="4" max="4" width="31.7109375" style="2" customWidth="1"/>
    <col min="5" max="5" width="10.85546875" style="2" customWidth="1"/>
    <col min="6" max="6" width="3.5703125" style="2" bestFit="1" customWidth="1"/>
    <col min="7" max="7" width="7.85546875" style="2" customWidth="1"/>
    <col min="8" max="16384" width="9.140625" style="2"/>
  </cols>
  <sheetData>
    <row r="1" spans="1:7" x14ac:dyDescent="0.25">
      <c r="A1" s="1"/>
      <c r="B1" s="1"/>
      <c r="C1" s="1"/>
      <c r="D1" s="1"/>
      <c r="E1" s="1"/>
      <c r="F1" s="1"/>
      <c r="G1" s="1"/>
    </row>
    <row r="2" spans="1:7" x14ac:dyDescent="0.25">
      <c r="A2" s="1"/>
      <c r="B2" s="1"/>
      <c r="C2" s="1"/>
      <c r="D2" s="1"/>
      <c r="E2" s="1"/>
      <c r="F2" s="1"/>
      <c r="G2" s="1"/>
    </row>
    <row r="3" spans="1:7" ht="15" customHeight="1" x14ac:dyDescent="0.25">
      <c r="A3" s="1"/>
      <c r="B3" s="89" t="s">
        <v>194</v>
      </c>
      <c r="C3" s="89"/>
      <c r="D3" s="89"/>
      <c r="E3" s="89"/>
      <c r="F3" s="89"/>
      <c r="G3" s="1"/>
    </row>
    <row r="4" spans="1:7" ht="29.25" customHeight="1" x14ac:dyDescent="0.25">
      <c r="A4" s="1"/>
      <c r="B4" s="89"/>
      <c r="C4" s="89"/>
      <c r="D4" s="89"/>
      <c r="E4" s="89"/>
      <c r="F4" s="89"/>
      <c r="G4" s="1"/>
    </row>
    <row r="5" spans="1:7" x14ac:dyDescent="0.25">
      <c r="A5" s="1"/>
      <c r="B5" s="1"/>
      <c r="C5" s="1"/>
      <c r="D5" s="1"/>
      <c r="E5" s="1"/>
      <c r="F5" s="1"/>
      <c r="G5" s="1"/>
    </row>
    <row r="6" spans="1:7" x14ac:dyDescent="0.25">
      <c r="A6" s="1"/>
      <c r="B6" s="1"/>
      <c r="C6" s="1"/>
      <c r="D6" s="1"/>
      <c r="E6" s="1"/>
      <c r="F6" s="1"/>
      <c r="G6" s="1"/>
    </row>
    <row r="7" spans="1:7" x14ac:dyDescent="0.25">
      <c r="A7" s="1"/>
      <c r="B7" s="1"/>
      <c r="C7" s="1"/>
      <c r="D7" s="1"/>
      <c r="E7" s="1"/>
      <c r="F7" s="1"/>
      <c r="G7" s="1"/>
    </row>
    <row r="8" spans="1:7" x14ac:dyDescent="0.25">
      <c r="A8" s="1"/>
      <c r="B8" s="38" t="s">
        <v>195</v>
      </c>
      <c r="C8" s="32"/>
      <c r="D8" s="32"/>
      <c r="E8" s="32"/>
      <c r="F8" s="20"/>
      <c r="G8" s="1"/>
    </row>
    <row r="9" spans="1:7" ht="15" customHeight="1" x14ac:dyDescent="0.25">
      <c r="A9" s="1"/>
      <c r="B9" s="80" t="s">
        <v>25</v>
      </c>
      <c r="C9" s="81"/>
      <c r="D9" s="82"/>
      <c r="E9" s="7">
        <v>240375816.88446316</v>
      </c>
      <c r="F9" s="8" t="s">
        <v>3</v>
      </c>
      <c r="G9" s="1"/>
    </row>
    <row r="10" spans="1:7" ht="15" customHeight="1" x14ac:dyDescent="0.25">
      <c r="A10" s="1"/>
      <c r="B10" s="83" t="s">
        <v>48</v>
      </c>
      <c r="C10" s="84"/>
      <c r="D10" s="90"/>
      <c r="E10" s="7">
        <v>4148542.3815000001</v>
      </c>
      <c r="F10" s="8" t="s">
        <v>3</v>
      </c>
      <c r="G10" s="1"/>
    </row>
    <row r="11" spans="1:7" ht="15" customHeight="1" x14ac:dyDescent="0.25">
      <c r="A11" s="1"/>
      <c r="B11" s="83" t="s">
        <v>49</v>
      </c>
      <c r="C11" s="84"/>
      <c r="D11" s="90"/>
      <c r="E11" s="9">
        <v>2870727.7598999999</v>
      </c>
      <c r="F11" s="8" t="s">
        <v>3</v>
      </c>
      <c r="G11" s="1"/>
    </row>
    <row r="12" spans="1:7" ht="15" customHeight="1" x14ac:dyDescent="0.25">
      <c r="A12" s="1"/>
      <c r="B12" s="83" t="s">
        <v>32</v>
      </c>
      <c r="C12" s="84"/>
      <c r="D12" s="90"/>
      <c r="E12" s="9">
        <v>0</v>
      </c>
      <c r="F12" s="8" t="s">
        <v>3</v>
      </c>
      <c r="G12" s="1"/>
    </row>
    <row r="13" spans="1:7" ht="15" customHeight="1" x14ac:dyDescent="0.25">
      <c r="A13" s="1"/>
      <c r="B13" s="80" t="s">
        <v>31</v>
      </c>
      <c r="C13" s="81"/>
      <c r="D13" s="82"/>
      <c r="E13" s="9">
        <v>0</v>
      </c>
      <c r="F13" s="8" t="s">
        <v>3</v>
      </c>
      <c r="G13" s="1"/>
    </row>
    <row r="14" spans="1:7" ht="15" customHeight="1" x14ac:dyDescent="0.25">
      <c r="A14" s="1"/>
      <c r="B14" s="80" t="s">
        <v>34</v>
      </c>
      <c r="C14" s="81"/>
      <c r="D14" s="82"/>
      <c r="E14" s="9">
        <v>0</v>
      </c>
      <c r="F14" s="8" t="s">
        <v>3</v>
      </c>
      <c r="G14" s="1"/>
    </row>
    <row r="15" spans="1:7" ht="15" customHeight="1" x14ac:dyDescent="0.25">
      <c r="A15" s="1"/>
      <c r="B15" s="80" t="s">
        <v>33</v>
      </c>
      <c r="C15" s="81"/>
      <c r="D15" s="82"/>
      <c r="E15" s="9">
        <v>0</v>
      </c>
      <c r="F15" s="8" t="s">
        <v>3</v>
      </c>
      <c r="G15" s="1"/>
    </row>
    <row r="16" spans="1:7" ht="15" customHeight="1" x14ac:dyDescent="0.25">
      <c r="A16" s="1"/>
      <c r="B16" s="80" t="s">
        <v>20</v>
      </c>
      <c r="C16" s="81"/>
      <c r="D16" s="82"/>
      <c r="E16" s="9">
        <f>SUM(E9:E15)*'Fane 14. Nøgletal'!C12</f>
        <v>4873683.2144095041</v>
      </c>
      <c r="F16" s="8" t="s">
        <v>3</v>
      </c>
      <c r="G16" s="1"/>
    </row>
    <row r="17" spans="1:7" ht="15" customHeight="1" x14ac:dyDescent="0.25">
      <c r="A17" s="1"/>
      <c r="B17" s="80" t="s">
        <v>10</v>
      </c>
      <c r="C17" s="81"/>
      <c r="D17" s="82"/>
      <c r="E17" s="9">
        <f>-SUM(E9:E16)*'Fane 5. Individuelt eff. krav'!G11</f>
        <v>-1985239.2912951254</v>
      </c>
      <c r="F17" s="8" t="s">
        <v>3</v>
      </c>
      <c r="G17" s="1"/>
    </row>
    <row r="18" spans="1:7" ht="15" customHeight="1" x14ac:dyDescent="0.25">
      <c r="A18" s="1"/>
      <c r="B18" s="80" t="s">
        <v>29</v>
      </c>
      <c r="C18" s="81"/>
      <c r="D18" s="82"/>
      <c r="E18" s="9">
        <f>-'Fane 4.1. Gen. krav - drift'!G28</f>
        <v>-1880848.6595249088</v>
      </c>
      <c r="F18" s="8" t="s">
        <v>3</v>
      </c>
      <c r="G18" s="1"/>
    </row>
    <row r="19" spans="1:7" ht="15" customHeight="1" x14ac:dyDescent="0.25">
      <c r="A19" s="1"/>
      <c r="B19" s="80" t="s">
        <v>30</v>
      </c>
      <c r="C19" s="81"/>
      <c r="D19" s="82"/>
      <c r="E19" s="9">
        <f>-'Fane 4.2. Gen. krav - anlæg'!G25</f>
        <v>-4563227.5027668262</v>
      </c>
      <c r="F19" s="8" t="s">
        <v>3</v>
      </c>
      <c r="G19" s="1"/>
    </row>
    <row r="20" spans="1:7" ht="15" customHeight="1" x14ac:dyDescent="0.25">
      <c r="A20" s="1"/>
      <c r="B20" s="52" t="s">
        <v>22</v>
      </c>
      <c r="C20" s="53"/>
      <c r="D20" s="55"/>
      <c r="E20" s="10">
        <f>SUM(E9:E19)</f>
        <v>243839454.78668582</v>
      </c>
      <c r="F20" s="11" t="s">
        <v>3</v>
      </c>
      <c r="G20" s="1"/>
    </row>
    <row r="21" spans="1:7" ht="15" customHeight="1" x14ac:dyDescent="0.25">
      <c r="A21" s="1"/>
      <c r="B21" s="38" t="s">
        <v>13</v>
      </c>
      <c r="C21" s="32"/>
      <c r="D21" s="32"/>
      <c r="E21" s="32"/>
      <c r="F21" s="20"/>
      <c r="G21" s="1"/>
    </row>
    <row r="22" spans="1:7" ht="15" customHeight="1" x14ac:dyDescent="0.25">
      <c r="A22" s="1"/>
      <c r="B22" s="87" t="s">
        <v>13</v>
      </c>
      <c r="C22" s="88"/>
      <c r="D22" s="91"/>
      <c r="E22" s="10">
        <v>6683298.2561842203</v>
      </c>
      <c r="F22" s="11" t="s">
        <v>3</v>
      </c>
      <c r="G22" s="1"/>
    </row>
    <row r="23" spans="1:7" ht="15" customHeight="1" x14ac:dyDescent="0.25">
      <c r="A23" s="1"/>
      <c r="B23" s="92" t="s">
        <v>114</v>
      </c>
      <c r="C23" s="93"/>
      <c r="D23" s="94"/>
      <c r="E23" s="32"/>
      <c r="F23" s="32"/>
      <c r="G23" s="1"/>
    </row>
    <row r="24" spans="1:7" ht="15" customHeight="1" x14ac:dyDescent="0.25">
      <c r="A24" s="1"/>
      <c r="B24" s="52" t="s">
        <v>114</v>
      </c>
      <c r="C24" s="44"/>
      <c r="D24" s="45"/>
      <c r="E24" s="10">
        <v>970654.48774203565</v>
      </c>
      <c r="F24" s="11" t="s">
        <v>3</v>
      </c>
      <c r="G24" s="1"/>
    </row>
    <row r="25" spans="1:7" x14ac:dyDescent="0.25">
      <c r="A25" s="1"/>
      <c r="B25" s="38" t="s">
        <v>113</v>
      </c>
      <c r="C25" s="32"/>
      <c r="D25" s="32"/>
      <c r="E25" s="32"/>
      <c r="F25" s="20"/>
      <c r="G25" s="1"/>
    </row>
    <row r="26" spans="1:7" ht="15" customHeight="1" x14ac:dyDescent="0.25">
      <c r="A26" s="1"/>
      <c r="B26" s="83" t="s">
        <v>109</v>
      </c>
      <c r="C26" s="84"/>
      <c r="D26" s="90"/>
      <c r="E26" s="9">
        <v>1280970.0568397702</v>
      </c>
      <c r="F26" s="8" t="s">
        <v>3</v>
      </c>
      <c r="G26" s="1"/>
    </row>
    <row r="27" spans="1:7" ht="15" customHeight="1" x14ac:dyDescent="0.25">
      <c r="A27" s="1"/>
      <c r="B27" s="83" t="s">
        <v>110</v>
      </c>
      <c r="C27" s="84"/>
      <c r="D27" s="84"/>
      <c r="E27" s="9">
        <v>113127.90440391001</v>
      </c>
      <c r="F27" s="8" t="s">
        <v>3</v>
      </c>
      <c r="G27" s="1"/>
    </row>
    <row r="28" spans="1:7" ht="15" customHeight="1" x14ac:dyDescent="0.25">
      <c r="A28" s="1"/>
      <c r="B28" s="85" t="s">
        <v>115</v>
      </c>
      <c r="C28" s="86"/>
      <c r="D28" s="86"/>
      <c r="E28" s="46">
        <v>1354294.8173266577</v>
      </c>
      <c r="F28" s="11" t="s">
        <v>3</v>
      </c>
      <c r="G28" s="1"/>
    </row>
    <row r="29" spans="1:7" ht="15" customHeight="1" x14ac:dyDescent="0.25">
      <c r="A29" s="1"/>
      <c r="B29" s="38" t="s">
        <v>259</v>
      </c>
      <c r="C29" s="38"/>
      <c r="D29" s="38"/>
      <c r="E29" s="32"/>
      <c r="F29" s="32"/>
      <c r="G29" s="1"/>
    </row>
    <row r="30" spans="1:7" ht="15" customHeight="1" x14ac:dyDescent="0.25">
      <c r="A30" s="1"/>
      <c r="B30" s="87" t="s">
        <v>260</v>
      </c>
      <c r="C30" s="88"/>
      <c r="D30" s="88"/>
      <c r="E30" s="46">
        <v>0</v>
      </c>
      <c r="F30" s="11" t="s">
        <v>3</v>
      </c>
      <c r="G30" s="1"/>
    </row>
    <row r="31" spans="1:7" ht="15" customHeight="1" x14ac:dyDescent="0.25">
      <c r="A31" s="1"/>
      <c r="B31" s="38" t="s">
        <v>261</v>
      </c>
      <c r="C31" s="38"/>
      <c r="D31" s="38"/>
      <c r="E31" s="32"/>
      <c r="F31" s="32"/>
      <c r="G31" s="1"/>
    </row>
    <row r="32" spans="1:7" ht="15" customHeight="1" x14ac:dyDescent="0.25">
      <c r="A32" s="1"/>
      <c r="B32" s="87" t="s">
        <v>262</v>
      </c>
      <c r="C32" s="88"/>
      <c r="D32" s="88"/>
      <c r="E32" s="46">
        <v>-9589518.3617849648</v>
      </c>
      <c r="F32" s="11" t="s">
        <v>3</v>
      </c>
      <c r="G32" s="1"/>
    </row>
    <row r="33" spans="1:7" x14ac:dyDescent="0.25">
      <c r="A33" s="1"/>
      <c r="B33" s="38" t="s">
        <v>263</v>
      </c>
      <c r="C33" s="32"/>
      <c r="D33" s="32"/>
      <c r="E33" s="32"/>
      <c r="F33" s="32"/>
      <c r="G33" s="1"/>
    </row>
    <row r="34" spans="1:7" ht="15.4" customHeight="1" x14ac:dyDescent="0.25">
      <c r="A34" s="1"/>
      <c r="B34" s="87" t="s">
        <v>264</v>
      </c>
      <c r="C34" s="88"/>
      <c r="D34" s="91"/>
      <c r="E34" s="10">
        <v>0</v>
      </c>
      <c r="F34" s="11" t="s">
        <v>3</v>
      </c>
      <c r="G34" s="1"/>
    </row>
    <row r="35" spans="1:7" x14ac:dyDescent="0.25">
      <c r="A35" s="1"/>
      <c r="B35" s="38" t="s">
        <v>26</v>
      </c>
      <c r="C35" s="32"/>
      <c r="D35" s="20"/>
      <c r="E35" s="12">
        <f>E20+E22+E24+E28+E30+E32+E34</f>
        <v>243258183.98615378</v>
      </c>
      <c r="F35" s="13" t="s">
        <v>3</v>
      </c>
      <c r="G35" s="1"/>
    </row>
    <row r="36" spans="1:7" ht="27" customHeight="1" x14ac:dyDescent="0.25">
      <c r="A36" s="1"/>
      <c r="B36" s="80" t="s">
        <v>218</v>
      </c>
      <c r="C36" s="81"/>
      <c r="D36" s="81"/>
      <c r="E36" s="81"/>
      <c r="F36" s="82"/>
      <c r="G36" s="1"/>
    </row>
    <row r="37" spans="1:7" x14ac:dyDescent="0.25">
      <c r="A37" s="1"/>
      <c r="B37" s="1"/>
      <c r="C37" s="1"/>
      <c r="D37" s="1"/>
      <c r="E37" s="1"/>
      <c r="F37" s="1"/>
      <c r="G37" s="1"/>
    </row>
    <row r="38" spans="1:7" x14ac:dyDescent="0.25">
      <c r="A38" s="1"/>
      <c r="B38" s="1"/>
      <c r="C38" s="1"/>
      <c r="D38" s="1"/>
      <c r="E38" s="1"/>
      <c r="F38" s="1"/>
      <c r="G38" s="1"/>
    </row>
    <row r="39" spans="1:7" x14ac:dyDescent="0.25">
      <c r="A39" s="1"/>
      <c r="B39" s="1"/>
      <c r="C39" s="1"/>
      <c r="D39" s="1"/>
      <c r="E39" s="1"/>
      <c r="F39" s="1"/>
      <c r="G39" s="1"/>
    </row>
    <row r="40" spans="1:7" x14ac:dyDescent="0.25">
      <c r="A40" s="1"/>
      <c r="B40" s="1"/>
      <c r="C40" s="1"/>
      <c r="D40" s="1"/>
      <c r="E40" s="1"/>
      <c r="F40" s="1"/>
      <c r="G40" s="1"/>
    </row>
    <row r="41" spans="1:7" x14ac:dyDescent="0.25">
      <c r="A41" s="1"/>
      <c r="B41" s="1"/>
      <c r="C41" s="1"/>
      <c r="D41" s="1"/>
      <c r="E41" s="1"/>
      <c r="F41" s="1"/>
      <c r="G41" s="1"/>
    </row>
    <row r="42" spans="1:7" x14ac:dyDescent="0.25">
      <c r="A42" s="1"/>
      <c r="B42" s="1"/>
      <c r="C42" s="1"/>
      <c r="D42" s="1"/>
      <c r="E42" s="1"/>
      <c r="F42" s="1"/>
      <c r="G42" s="1"/>
    </row>
    <row r="43" spans="1:7" x14ac:dyDescent="0.25">
      <c r="A43" s="1"/>
      <c r="B43" s="1"/>
      <c r="C43" s="1"/>
      <c r="D43" s="1"/>
      <c r="E43" s="1"/>
      <c r="F43" s="1"/>
      <c r="G43" s="1"/>
    </row>
    <row r="44" spans="1:7" x14ac:dyDescent="0.25">
      <c r="A44" s="1"/>
      <c r="B44" s="1"/>
      <c r="C44" s="1"/>
      <c r="D44" s="1"/>
      <c r="E44" s="1"/>
      <c r="F44" s="1"/>
      <c r="G44" s="1"/>
    </row>
    <row r="45" spans="1:7" x14ac:dyDescent="0.25">
      <c r="A45" s="1"/>
      <c r="B45" s="1"/>
      <c r="C45" s="1"/>
      <c r="D45" s="1"/>
      <c r="E45" s="1"/>
      <c r="F45" s="1"/>
      <c r="G45" s="1"/>
    </row>
    <row r="46" spans="1:7" x14ac:dyDescent="0.25">
      <c r="A46" s="1"/>
      <c r="B46" s="1"/>
      <c r="C46" s="1"/>
      <c r="D46" s="1"/>
      <c r="E46" s="1"/>
      <c r="F46" s="1"/>
      <c r="G46" s="1"/>
    </row>
    <row r="47" spans="1:7" x14ac:dyDescent="0.25">
      <c r="A47" s="1"/>
      <c r="B47" s="1"/>
      <c r="C47" s="1"/>
      <c r="D47" s="1"/>
      <c r="E47" s="1"/>
      <c r="F47" s="1"/>
      <c r="G47" s="1"/>
    </row>
    <row r="48" spans="1:7" x14ac:dyDescent="0.25">
      <c r="A48" s="1"/>
      <c r="B48" s="1"/>
      <c r="C48" s="1"/>
      <c r="D48" s="1"/>
      <c r="E48" s="1"/>
      <c r="F48" s="1"/>
      <c r="G48" s="1"/>
    </row>
    <row r="49" spans="1:7" x14ac:dyDescent="0.25">
      <c r="A49" s="1"/>
      <c r="B49" s="1"/>
      <c r="C49" s="1"/>
      <c r="D49" s="1"/>
      <c r="E49" s="1"/>
      <c r="F49" s="1"/>
      <c r="G49" s="1"/>
    </row>
    <row r="50" spans="1:7" x14ac:dyDescent="0.25">
      <c r="A50" s="1"/>
      <c r="B50" s="1"/>
      <c r="C50" s="1"/>
      <c r="D50" s="1"/>
      <c r="E50" s="1"/>
      <c r="F50" s="1"/>
      <c r="G50" s="1"/>
    </row>
    <row r="51" spans="1:7" x14ac:dyDescent="0.25">
      <c r="A51" s="1"/>
      <c r="B51" s="1"/>
      <c r="C51" s="1"/>
      <c r="D51" s="1"/>
      <c r="E51" s="1"/>
      <c r="F51" s="1"/>
      <c r="G51" s="1"/>
    </row>
    <row r="52" spans="1:7" x14ac:dyDescent="0.25">
      <c r="A52" s="1"/>
      <c r="B52" s="1"/>
      <c r="C52" s="1"/>
      <c r="D52" s="1"/>
      <c r="E52" s="1"/>
      <c r="F52" s="1"/>
      <c r="G52" s="1"/>
    </row>
  </sheetData>
  <sheetProtection algorithmName="SHA-512" hashValue="J9PZwNmbAaf9ftAqLmioNEVP1Ipzjn7AhbReUcuBIv0831C3+4nDxj/JIhX8ycCsMH8PhbXE2v20TOjf6zwdOw==" saltValue="zek/oSU6qPmFIDQ1bhBvAA==" spinCount="100000" sheet="1" objects="1" scenarios="1"/>
  <mergeCells count="21">
    <mergeCell ref="B18:D18"/>
    <mergeCell ref="B19:D19"/>
    <mergeCell ref="B26:D26"/>
    <mergeCell ref="B34:D34"/>
    <mergeCell ref="B22:D22"/>
    <mergeCell ref="B23:D23"/>
    <mergeCell ref="B13:D13"/>
    <mergeCell ref="B14:D14"/>
    <mergeCell ref="B15:D15"/>
    <mergeCell ref="B16:D16"/>
    <mergeCell ref="B17:D17"/>
    <mergeCell ref="B3:F4"/>
    <mergeCell ref="B9:D9"/>
    <mergeCell ref="B10:D10"/>
    <mergeCell ref="B11:D11"/>
    <mergeCell ref="B12:D12"/>
    <mergeCell ref="B36:F36"/>
    <mergeCell ref="B27:D27"/>
    <mergeCell ref="B28:D28"/>
    <mergeCell ref="B32:D32"/>
    <mergeCell ref="B30:D30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56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5" customHeight="1" x14ac:dyDescent="0.25">
      <c r="A1" s="1"/>
      <c r="B1" s="43"/>
      <c r="C1" s="43"/>
      <c r="D1" s="43"/>
      <c r="E1" s="43"/>
      <c r="F1" s="43"/>
      <c r="G1" s="43"/>
      <c r="H1" s="43"/>
      <c r="I1" s="1"/>
    </row>
    <row r="2" spans="1:9" ht="15" customHeight="1" x14ac:dyDescent="0.25">
      <c r="A2" s="1"/>
      <c r="B2" s="89" t="s">
        <v>163</v>
      </c>
      <c r="C2" s="89"/>
      <c r="D2" s="89"/>
      <c r="E2" s="89"/>
      <c r="F2" s="89"/>
      <c r="G2" s="89"/>
      <c r="H2" s="89"/>
      <c r="I2" s="1"/>
    </row>
    <row r="3" spans="1:9" ht="28.5" customHeight="1" x14ac:dyDescent="0.25">
      <c r="A3" s="1"/>
      <c r="B3" s="89"/>
      <c r="C3" s="89"/>
      <c r="D3" s="89"/>
      <c r="E3" s="89"/>
      <c r="F3" s="89"/>
      <c r="G3" s="89"/>
      <c r="H3" s="89"/>
      <c r="I3" s="1"/>
    </row>
    <row r="4" spans="1:9" ht="14.25" customHeight="1" x14ac:dyDescent="0.25">
      <c r="A4" s="1"/>
      <c r="B4" s="43"/>
      <c r="C4" s="43"/>
      <c r="D4" s="43"/>
      <c r="E4" s="43"/>
      <c r="F4" s="43"/>
      <c r="G4" s="43"/>
      <c r="H4" s="43"/>
      <c r="I4" s="1"/>
    </row>
    <row r="5" spans="1:9" x14ac:dyDescent="0.25">
      <c r="A5" s="1"/>
      <c r="B5" s="92" t="s">
        <v>67</v>
      </c>
      <c r="C5" s="93"/>
      <c r="D5" s="93"/>
      <c r="E5" s="93"/>
      <c r="F5" s="93"/>
      <c r="G5" s="93"/>
      <c r="H5" s="94"/>
      <c r="I5" s="1"/>
    </row>
    <row r="6" spans="1:9" x14ac:dyDescent="0.25">
      <c r="A6" s="1"/>
      <c r="B6" s="95" t="s">
        <v>56</v>
      </c>
      <c r="C6" s="96"/>
      <c r="D6" s="96"/>
      <c r="E6" s="96"/>
      <c r="F6" s="97"/>
      <c r="G6" s="24">
        <v>91224526.118125319</v>
      </c>
      <c r="H6" s="14" t="s">
        <v>3</v>
      </c>
      <c r="I6" s="1"/>
    </row>
    <row r="7" spans="1:9" x14ac:dyDescent="0.25">
      <c r="A7" s="1"/>
      <c r="B7" s="80" t="s">
        <v>181</v>
      </c>
      <c r="C7" s="81"/>
      <c r="D7" s="81"/>
      <c r="E7" s="81"/>
      <c r="F7" s="82"/>
      <c r="G7" s="24">
        <v>0</v>
      </c>
      <c r="H7" s="14" t="s">
        <v>3</v>
      </c>
      <c r="I7" s="1"/>
    </row>
    <row r="8" spans="1:9" x14ac:dyDescent="0.25">
      <c r="A8" s="1"/>
      <c r="B8" s="95" t="s">
        <v>57</v>
      </c>
      <c r="C8" s="96"/>
      <c r="D8" s="96"/>
      <c r="E8" s="96"/>
      <c r="F8" s="97"/>
      <c r="G8" s="24">
        <f>SUM(G6:G7)*'Fane 14. Nøgletal'!C27</f>
        <v>1824490.5223625065</v>
      </c>
      <c r="H8" s="14" t="s">
        <v>3</v>
      </c>
      <c r="I8" s="1"/>
    </row>
    <row r="9" spans="1:9" x14ac:dyDescent="0.25">
      <c r="A9" s="1"/>
      <c r="B9" s="38"/>
      <c r="C9" s="32"/>
      <c r="D9" s="32"/>
      <c r="E9" s="32"/>
      <c r="F9" s="32"/>
      <c r="G9" s="32"/>
      <c r="H9" s="20"/>
      <c r="I9" s="1"/>
    </row>
    <row r="10" spans="1:9" x14ac:dyDescent="0.25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25">
      <c r="A11" s="1"/>
      <c r="B11" s="92" t="s">
        <v>68</v>
      </c>
      <c r="C11" s="93"/>
      <c r="D11" s="93"/>
      <c r="E11" s="93"/>
      <c r="F11" s="93"/>
      <c r="G11" s="93"/>
      <c r="H11" s="94"/>
      <c r="I11" s="1"/>
    </row>
    <row r="12" spans="1:9" x14ac:dyDescent="0.25">
      <c r="A12" s="1"/>
      <c r="B12" s="95" t="s">
        <v>58</v>
      </c>
      <c r="C12" s="96"/>
      <c r="D12" s="96"/>
      <c r="E12" s="96"/>
      <c r="F12" s="97"/>
      <c r="G12" s="24">
        <f>(G6-G8)*(1+'Fane 14. Nøgletal'!C10)</f>
        <v>90964536.218688682</v>
      </c>
      <c r="H12" s="14" t="s">
        <v>3</v>
      </c>
      <c r="I12" s="1"/>
    </row>
    <row r="13" spans="1:9" ht="15" customHeight="1" x14ac:dyDescent="0.25">
      <c r="A13" s="1"/>
      <c r="B13" s="95" t="s">
        <v>182</v>
      </c>
      <c r="C13" s="96"/>
      <c r="D13" s="96"/>
      <c r="E13" s="96"/>
      <c r="F13" s="97"/>
      <c r="G13" s="24">
        <v>-960274.58156027109</v>
      </c>
      <c r="H13" s="14" t="s">
        <v>3</v>
      </c>
      <c r="I13" s="1"/>
    </row>
    <row r="14" spans="1:9" x14ac:dyDescent="0.25">
      <c r="A14" s="1"/>
      <c r="B14" s="80" t="s">
        <v>179</v>
      </c>
      <c r="C14" s="81"/>
      <c r="D14" s="81"/>
      <c r="E14" s="81"/>
      <c r="F14" s="82"/>
      <c r="G14" s="24">
        <v>960273.76500000001</v>
      </c>
      <c r="H14" s="14" t="s">
        <v>3</v>
      </c>
      <c r="I14" s="1"/>
    </row>
    <row r="15" spans="1:9" x14ac:dyDescent="0.25">
      <c r="A15" s="1"/>
      <c r="B15" s="98" t="s">
        <v>59</v>
      </c>
      <c r="C15" s="99"/>
      <c r="D15" s="99"/>
      <c r="E15" s="99"/>
      <c r="F15" s="100"/>
      <c r="G15" s="24">
        <v>0</v>
      </c>
      <c r="H15" s="14" t="s">
        <v>3</v>
      </c>
      <c r="I15" s="1"/>
    </row>
    <row r="16" spans="1:9" x14ac:dyDescent="0.25">
      <c r="A16" s="1"/>
      <c r="B16" s="95" t="s">
        <v>60</v>
      </c>
      <c r="C16" s="96"/>
      <c r="D16" s="96"/>
      <c r="E16" s="96"/>
      <c r="F16" s="97"/>
      <c r="G16" s="24">
        <f>SUM(G12:G15)*'Fane 14. Nøgletal'!C27</f>
        <v>1819290.7080425683</v>
      </c>
      <c r="H16" s="14" t="s">
        <v>3</v>
      </c>
      <c r="I16" s="1"/>
    </row>
    <row r="17" spans="1:9" x14ac:dyDescent="0.25">
      <c r="A17" s="1"/>
      <c r="B17" s="38"/>
      <c r="C17" s="32"/>
      <c r="D17" s="32"/>
      <c r="E17" s="32"/>
      <c r="F17" s="32"/>
      <c r="G17" s="32"/>
      <c r="H17" s="20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92" t="s">
        <v>69</v>
      </c>
      <c r="C19" s="93"/>
      <c r="D19" s="93"/>
      <c r="E19" s="93"/>
      <c r="F19" s="93"/>
      <c r="G19" s="93"/>
      <c r="H19" s="94"/>
      <c r="I19" s="1"/>
    </row>
    <row r="20" spans="1:9" x14ac:dyDescent="0.25">
      <c r="A20" s="1"/>
      <c r="B20" s="95" t="s">
        <v>61</v>
      </c>
      <c r="C20" s="96"/>
      <c r="D20" s="96"/>
      <c r="E20" s="96"/>
      <c r="F20" s="97"/>
      <c r="G20" s="24">
        <f>(SUM(G12:G13,G15)-(G16))*(1+'Fane 14. Nøgletal'!C10)</f>
        <v>89728207.920344859</v>
      </c>
      <c r="H20" s="14" t="s">
        <v>3</v>
      </c>
      <c r="I20" s="1"/>
    </row>
    <row r="21" spans="1:9" x14ac:dyDescent="0.25">
      <c r="A21" s="1"/>
      <c r="B21" s="98" t="s">
        <v>62</v>
      </c>
      <c r="C21" s="99"/>
      <c r="D21" s="99"/>
      <c r="E21" s="99"/>
      <c r="F21" s="100"/>
      <c r="G21" s="24">
        <v>146329.31832865998</v>
      </c>
      <c r="H21" s="14" t="s">
        <v>3</v>
      </c>
      <c r="I21" s="1"/>
    </row>
    <row r="22" spans="1:9" x14ac:dyDescent="0.25">
      <c r="A22" s="1"/>
      <c r="B22" s="95" t="s">
        <v>63</v>
      </c>
      <c r="C22" s="96"/>
      <c r="D22" s="96"/>
      <c r="E22" s="96"/>
      <c r="F22" s="97"/>
      <c r="G22" s="24">
        <f>SUM(G20:G21)*'Fane 14. Nøgletal'!C27</f>
        <v>1797490.7447734706</v>
      </c>
      <c r="H22" s="14" t="s">
        <v>3</v>
      </c>
      <c r="I22" s="1"/>
    </row>
    <row r="23" spans="1:9" x14ac:dyDescent="0.25">
      <c r="A23" s="1"/>
      <c r="B23" s="38"/>
      <c r="C23" s="32"/>
      <c r="D23" s="32"/>
      <c r="E23" s="32"/>
      <c r="F23" s="32"/>
      <c r="G23" s="32"/>
      <c r="H23" s="20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92" t="s">
        <v>70</v>
      </c>
      <c r="C25" s="93"/>
      <c r="D25" s="93"/>
      <c r="E25" s="93"/>
      <c r="F25" s="93"/>
      <c r="G25" s="93"/>
      <c r="H25" s="94"/>
      <c r="I25" s="1"/>
    </row>
    <row r="26" spans="1:9" x14ac:dyDescent="0.25">
      <c r="A26" s="1"/>
      <c r="B26" s="95" t="s">
        <v>64</v>
      </c>
      <c r="C26" s="96"/>
      <c r="D26" s="96"/>
      <c r="E26" s="96"/>
      <c r="F26" s="97"/>
      <c r="G26" s="24">
        <f>(G20+G21-G22)*(1+'Fane 14. Nøgletal'!C12)</f>
        <v>89812164.309829876</v>
      </c>
      <c r="H26" s="14" t="s">
        <v>3</v>
      </c>
      <c r="I26" s="1"/>
    </row>
    <row r="27" spans="1:9" x14ac:dyDescent="0.25">
      <c r="A27" s="1"/>
      <c r="B27" s="98" t="s">
        <v>65</v>
      </c>
      <c r="C27" s="99"/>
      <c r="D27" s="99"/>
      <c r="E27" s="99"/>
      <c r="F27" s="100"/>
      <c r="G27" s="24">
        <v>4230268.6664155507</v>
      </c>
      <c r="H27" s="14" t="s">
        <v>3</v>
      </c>
      <c r="I27" s="1"/>
    </row>
    <row r="28" spans="1:9" x14ac:dyDescent="0.25">
      <c r="A28" s="1"/>
      <c r="B28" s="95" t="s">
        <v>66</v>
      </c>
      <c r="C28" s="96"/>
      <c r="D28" s="96"/>
      <c r="E28" s="96"/>
      <c r="F28" s="97"/>
      <c r="G28" s="24">
        <f>(G26+G27)*'Fane 14. Nøgletal'!C27</f>
        <v>1880848.6595249088</v>
      </c>
      <c r="H28" s="14" t="s">
        <v>3</v>
      </c>
      <c r="I28" s="1"/>
    </row>
    <row r="29" spans="1:9" x14ac:dyDescent="0.25">
      <c r="A29" s="1"/>
      <c r="B29" s="38"/>
      <c r="C29" s="32"/>
      <c r="D29" s="32"/>
      <c r="E29" s="32"/>
      <c r="F29" s="32"/>
      <c r="G29" s="32"/>
      <c r="H29" s="20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92" t="s">
        <v>73</v>
      </c>
      <c r="C31" s="93"/>
      <c r="D31" s="93"/>
      <c r="E31" s="93"/>
      <c r="F31" s="93"/>
      <c r="G31" s="93"/>
      <c r="H31" s="94"/>
      <c r="I31" s="1"/>
    </row>
    <row r="32" spans="1:9" x14ac:dyDescent="0.25">
      <c r="A32" s="1"/>
      <c r="B32" s="95" t="s">
        <v>74</v>
      </c>
      <c r="C32" s="96"/>
      <c r="D32" s="96"/>
      <c r="E32" s="96"/>
      <c r="F32" s="97"/>
      <c r="G32" s="24">
        <f>(G26+G27-G28)*(1+'Fane 14. Nøgletal'!C12)</f>
        <v>93977167.527759925</v>
      </c>
      <c r="H32" s="14" t="s">
        <v>3</v>
      </c>
      <c r="I32" s="1"/>
    </row>
    <row r="33" spans="1:9" x14ac:dyDescent="0.25">
      <c r="A33" s="1"/>
      <c r="B33" s="95" t="s">
        <v>230</v>
      </c>
      <c r="C33" s="96"/>
      <c r="D33" s="96"/>
      <c r="E33" s="96"/>
      <c r="F33" s="97"/>
      <c r="G33" s="24">
        <f>SUM('Fane 2.1. Økonomisk ramme 2021'!C10,'Fane 2.1. Økonomisk ramme 2021'!C12,'Fane 2.1. Økonomisk ramme 2021'!C14)*(1+'Fane 14. Nøgletal'!C13)</f>
        <v>1068098.3129930401</v>
      </c>
      <c r="H33" s="14" t="s">
        <v>3</v>
      </c>
      <c r="I33" s="1"/>
    </row>
    <row r="34" spans="1:9" x14ac:dyDescent="0.25">
      <c r="A34" s="1"/>
      <c r="B34" s="95" t="s">
        <v>75</v>
      </c>
      <c r="C34" s="96"/>
      <c r="D34" s="96"/>
      <c r="E34" s="96"/>
      <c r="F34" s="97"/>
      <c r="G34" s="24">
        <f>(G32+G33)*'Fane 14. Nøgletal'!C27</f>
        <v>1900905.3168150592</v>
      </c>
      <c r="H34" s="14" t="s">
        <v>3</v>
      </c>
      <c r="I34" s="1"/>
    </row>
    <row r="35" spans="1:9" x14ac:dyDescent="0.25">
      <c r="A35" s="1"/>
      <c r="B35" s="38"/>
      <c r="C35" s="32"/>
      <c r="D35" s="32"/>
      <c r="E35" s="32"/>
      <c r="F35" s="32"/>
      <c r="G35" s="32"/>
      <c r="H35" s="20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92" t="s">
        <v>100</v>
      </c>
      <c r="C37" s="93"/>
      <c r="D37" s="93"/>
      <c r="E37" s="93"/>
      <c r="F37" s="93"/>
      <c r="G37" s="93"/>
      <c r="H37" s="94"/>
      <c r="I37" s="1"/>
    </row>
    <row r="38" spans="1:9" x14ac:dyDescent="0.25">
      <c r="A38" s="1"/>
      <c r="B38" s="95" t="s">
        <v>99</v>
      </c>
      <c r="C38" s="96"/>
      <c r="D38" s="96"/>
      <c r="E38" s="96"/>
      <c r="F38" s="97"/>
      <c r="G38" s="24">
        <f>(G32+G33-G34)*(1+'Fane 14. Nøgletal'!C13)</f>
        <v>94280721.722329944</v>
      </c>
      <c r="H38" s="14" t="s">
        <v>3</v>
      </c>
      <c r="I38" s="1"/>
    </row>
    <row r="39" spans="1:9" x14ac:dyDescent="0.25">
      <c r="A39" s="1"/>
      <c r="B39" s="95" t="s">
        <v>117</v>
      </c>
      <c r="C39" s="96"/>
      <c r="D39" s="96"/>
      <c r="E39" s="96"/>
      <c r="F39" s="97"/>
      <c r="G39" s="24">
        <f>-'Fane 13. Bortfald'!C18*(1+'Fane 14. Nøgletal'!C13)</f>
        <v>0</v>
      </c>
      <c r="H39" s="14" t="s">
        <v>3</v>
      </c>
      <c r="I39" s="1"/>
    </row>
    <row r="40" spans="1:9" x14ac:dyDescent="0.25">
      <c r="A40" s="1"/>
      <c r="B40" s="95" t="s">
        <v>76</v>
      </c>
      <c r="C40" s="96"/>
      <c r="D40" s="96"/>
      <c r="E40" s="96"/>
      <c r="F40" s="97"/>
      <c r="G40" s="24">
        <f>(G38+G39)*'Fane 14. Nøgletal'!C27</f>
        <v>1885614.4344465989</v>
      </c>
      <c r="H40" s="14" t="s">
        <v>3</v>
      </c>
      <c r="I40" s="1"/>
    </row>
    <row r="41" spans="1:9" x14ac:dyDescent="0.25">
      <c r="A41" s="1"/>
      <c r="B41" s="38"/>
      <c r="C41" s="32"/>
      <c r="D41" s="32"/>
      <c r="E41" s="32"/>
      <c r="F41" s="32"/>
      <c r="G41" s="32"/>
      <c r="H41" s="20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92" t="s">
        <v>101</v>
      </c>
      <c r="C43" s="93"/>
      <c r="D43" s="93"/>
      <c r="E43" s="93"/>
      <c r="F43" s="93"/>
      <c r="G43" s="93"/>
      <c r="H43" s="94"/>
      <c r="I43" s="1"/>
    </row>
    <row r="44" spans="1:9" x14ac:dyDescent="0.25">
      <c r="A44" s="1"/>
      <c r="B44" s="95" t="s">
        <v>98</v>
      </c>
      <c r="C44" s="96"/>
      <c r="D44" s="96"/>
      <c r="E44" s="96"/>
      <c r="F44" s="97"/>
      <c r="G44" s="24">
        <f>(G38+G39-G40)*(1+'Fane 14. Nøgletal'!C13)</f>
        <v>93522327.596795514</v>
      </c>
      <c r="H44" s="14" t="s">
        <v>3</v>
      </c>
      <c r="I44" s="1"/>
    </row>
    <row r="45" spans="1:9" x14ac:dyDescent="0.25">
      <c r="A45" s="1"/>
      <c r="B45" s="95" t="s">
        <v>118</v>
      </c>
      <c r="C45" s="96"/>
      <c r="D45" s="96"/>
      <c r="E45" s="96"/>
      <c r="F45" s="97"/>
      <c r="G45" s="24">
        <f>-'Fane 13. Bortfald'!C24*(1+'Fane 14. Nøgletal'!C13)</f>
        <v>0</v>
      </c>
      <c r="H45" s="14" t="s">
        <v>3</v>
      </c>
      <c r="I45" s="1"/>
    </row>
    <row r="46" spans="1:9" x14ac:dyDescent="0.25">
      <c r="A46" s="1"/>
      <c r="B46" s="95" t="s">
        <v>77</v>
      </c>
      <c r="C46" s="96"/>
      <c r="D46" s="96"/>
      <c r="E46" s="96"/>
      <c r="F46" s="97"/>
      <c r="G46" s="24">
        <f>(G44+G45)*'Fane 14. Nøgletal'!C27</f>
        <v>1870446.5519359102</v>
      </c>
      <c r="H46" s="14" t="s">
        <v>3</v>
      </c>
      <c r="I46" s="1"/>
    </row>
    <row r="47" spans="1:9" x14ac:dyDescent="0.25">
      <c r="A47" s="1"/>
      <c r="B47" s="38"/>
      <c r="C47" s="32"/>
      <c r="D47" s="32"/>
      <c r="E47" s="32"/>
      <c r="F47" s="32"/>
      <c r="G47" s="32"/>
      <c r="H47" s="20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  <row r="49" spans="1:9" x14ac:dyDescent="0.25">
      <c r="A49" s="1"/>
      <c r="B49" s="1"/>
      <c r="C49" s="1"/>
      <c r="D49" s="1"/>
      <c r="E49" s="1"/>
      <c r="F49" s="1"/>
      <c r="G49" s="1"/>
      <c r="H49" s="1"/>
      <c r="I49" s="1"/>
    </row>
    <row r="50" spans="1:9" x14ac:dyDescent="0.25">
      <c r="A50" s="1"/>
      <c r="B50" s="1"/>
      <c r="C50" s="1"/>
      <c r="D50" s="1"/>
      <c r="E50" s="1"/>
      <c r="F50" s="1"/>
      <c r="G50" s="1"/>
      <c r="H50" s="1"/>
      <c r="I50" s="1"/>
    </row>
    <row r="51" spans="1:9" x14ac:dyDescent="0.25">
      <c r="A51" s="1"/>
      <c r="B51" s="92" t="s">
        <v>231</v>
      </c>
      <c r="C51" s="93"/>
      <c r="D51" s="93"/>
      <c r="E51" s="93"/>
      <c r="F51" s="93"/>
      <c r="G51" s="93"/>
      <c r="H51" s="94"/>
      <c r="I51" s="1"/>
    </row>
    <row r="52" spans="1:9" x14ac:dyDescent="0.25">
      <c r="A52" s="1"/>
      <c r="B52" s="95" t="s">
        <v>232</v>
      </c>
      <c r="C52" s="96"/>
      <c r="D52" s="96"/>
      <c r="E52" s="96"/>
      <c r="F52" s="97"/>
      <c r="G52" s="24">
        <f>(G44+G45-G46)*(1+'Fane 14. Nøgletal'!C13)</f>
        <v>92770033.993606895</v>
      </c>
      <c r="H52" s="14" t="s">
        <v>3</v>
      </c>
      <c r="I52" s="1"/>
    </row>
    <row r="53" spans="1:9" x14ac:dyDescent="0.25">
      <c r="A53" s="1"/>
      <c r="B53" s="95" t="s">
        <v>233</v>
      </c>
      <c r="C53" s="96"/>
      <c r="D53" s="96"/>
      <c r="E53" s="96"/>
      <c r="F53" s="97"/>
      <c r="G53" s="24">
        <f>-'Fane 13. Bortfald'!C30*(1+'Fane 14. Nøgletal'!C13)</f>
        <v>0</v>
      </c>
      <c r="H53" s="14" t="s">
        <v>3</v>
      </c>
      <c r="I53" s="1"/>
    </row>
    <row r="54" spans="1:9" x14ac:dyDescent="0.25">
      <c r="A54" s="1"/>
      <c r="B54" s="95" t="s">
        <v>234</v>
      </c>
      <c r="C54" s="96"/>
      <c r="D54" s="96"/>
      <c r="E54" s="96"/>
      <c r="F54" s="97"/>
      <c r="G54" s="24">
        <f>(G52+G53)*'Fane 14. Nøgletal'!C27</f>
        <v>1855400.679872138</v>
      </c>
      <c r="H54" s="14" t="s">
        <v>3</v>
      </c>
      <c r="I54" s="1"/>
    </row>
    <row r="55" spans="1:9" x14ac:dyDescent="0.25">
      <c r="A55" s="1"/>
      <c r="B55" s="38"/>
      <c r="C55" s="32"/>
      <c r="D55" s="32"/>
      <c r="E55" s="32"/>
      <c r="F55" s="32"/>
      <c r="G55" s="32"/>
      <c r="H55" s="20"/>
      <c r="I55" s="1"/>
    </row>
    <row r="56" spans="1:9" x14ac:dyDescent="0.25">
      <c r="A56" s="1"/>
      <c r="B56" s="1"/>
      <c r="C56" s="1"/>
      <c r="D56" s="1"/>
      <c r="E56" s="1"/>
      <c r="F56" s="1"/>
      <c r="G56" s="1"/>
      <c r="H56" s="1"/>
      <c r="I56" s="1"/>
    </row>
  </sheetData>
  <sheetProtection algorithmName="SHA-512" hashValue="2bVLV9uD0BZLHbLoXMAE17MwUZnkj/fTQ+9xAf+JLN8WCzVUWnHspE2Z0ibGm1siamFFS5vdf4VRr/CTXooceg==" saltValue="1cJAMqSpZNDDZG9tgJcDZQ==" spinCount="100000" sheet="1" objects="1" scenarios="1"/>
  <mergeCells count="35">
    <mergeCell ref="B12:F12"/>
    <mergeCell ref="B11:H11"/>
    <mergeCell ref="B7:F7"/>
    <mergeCell ref="B2:H3"/>
    <mergeCell ref="B25:H25"/>
    <mergeCell ref="B5:H5"/>
    <mergeCell ref="B6:F6"/>
    <mergeCell ref="B8:F8"/>
    <mergeCell ref="B43:H43"/>
    <mergeCell ref="B44:F44"/>
    <mergeCell ref="B46:F46"/>
    <mergeCell ref="B39:F39"/>
    <mergeCell ref="B45:F45"/>
    <mergeCell ref="B40:F40"/>
    <mergeCell ref="B27:F27"/>
    <mergeCell ref="B28:F28"/>
    <mergeCell ref="B38:F38"/>
    <mergeCell ref="B33:F33"/>
    <mergeCell ref="B34:F34"/>
    <mergeCell ref="B51:H51"/>
    <mergeCell ref="B52:F52"/>
    <mergeCell ref="B53:F53"/>
    <mergeCell ref="B54:F54"/>
    <mergeCell ref="B13:F13"/>
    <mergeCell ref="B14:F14"/>
    <mergeCell ref="B31:H31"/>
    <mergeCell ref="B32:F32"/>
    <mergeCell ref="B37:H37"/>
    <mergeCell ref="B19:H19"/>
    <mergeCell ref="B15:F15"/>
    <mergeCell ref="B16:F16"/>
    <mergeCell ref="B20:F20"/>
    <mergeCell ref="B21:F21"/>
    <mergeCell ref="B22:F22"/>
    <mergeCell ref="B26:F2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50"/>
  <sheetViews>
    <sheetView showGridLines="0" view="pageLayout" zoomScaleNormal="100" workbookViewId="0"/>
  </sheetViews>
  <sheetFormatPr defaultColWidth="9.140625" defaultRowHeight="15" x14ac:dyDescent="0.25"/>
  <cols>
    <col min="1" max="1" width="6.140625" style="2" customWidth="1"/>
    <col min="2" max="5" width="9.140625" style="2"/>
    <col min="6" max="6" width="23.28515625" style="2" customWidth="1"/>
    <col min="7" max="7" width="10.28515625" style="2" customWidth="1"/>
    <col min="8" max="8" width="4.28515625" style="2" customWidth="1"/>
    <col min="9" max="9" width="6.7109375" style="2" customWidth="1"/>
    <col min="10" max="16384" width="9.140625" style="2"/>
  </cols>
  <sheetData>
    <row r="1" spans="1:9" ht="14.25" customHeight="1" x14ac:dyDescent="0.25">
      <c r="A1" s="1"/>
      <c r="B1" s="101" t="s">
        <v>164</v>
      </c>
      <c r="C1" s="101"/>
      <c r="D1" s="101"/>
      <c r="E1" s="101"/>
      <c r="F1" s="101"/>
      <c r="G1" s="101"/>
      <c r="H1" s="101"/>
      <c r="I1" s="1"/>
    </row>
    <row r="2" spans="1:9" ht="15" customHeight="1" x14ac:dyDescent="0.25">
      <c r="A2" s="1"/>
      <c r="B2" s="101"/>
      <c r="C2" s="101"/>
      <c r="D2" s="101"/>
      <c r="E2" s="101"/>
      <c r="F2" s="101"/>
      <c r="G2" s="101"/>
      <c r="H2" s="101"/>
      <c r="I2" s="1"/>
    </row>
    <row r="3" spans="1:9" ht="15" customHeight="1" x14ac:dyDescent="0.25">
      <c r="A3" s="1"/>
      <c r="B3" s="102"/>
      <c r="C3" s="102"/>
      <c r="D3" s="102"/>
      <c r="E3" s="102"/>
      <c r="F3" s="102"/>
      <c r="G3" s="102"/>
      <c r="H3" s="102"/>
      <c r="I3" s="1"/>
    </row>
    <row r="4" spans="1:9" x14ac:dyDescent="0.25">
      <c r="A4" s="1"/>
      <c r="B4" s="92" t="s">
        <v>71</v>
      </c>
      <c r="C4" s="93"/>
      <c r="D4" s="93"/>
      <c r="E4" s="93"/>
      <c r="F4" s="93"/>
      <c r="G4" s="93"/>
      <c r="H4" s="94"/>
      <c r="I4" s="1"/>
    </row>
    <row r="5" spans="1:9" x14ac:dyDescent="0.25">
      <c r="A5" s="1"/>
      <c r="B5" s="95" t="s">
        <v>78</v>
      </c>
      <c r="C5" s="96"/>
      <c r="D5" s="96"/>
      <c r="E5" s="96"/>
      <c r="F5" s="97"/>
      <c r="G5" s="24">
        <v>153786343.80283734</v>
      </c>
      <c r="H5" s="14" t="s">
        <v>3</v>
      </c>
      <c r="I5" s="1"/>
    </row>
    <row r="6" spans="1:9" x14ac:dyDescent="0.25">
      <c r="A6" s="1"/>
      <c r="B6" s="95" t="s">
        <v>72</v>
      </c>
      <c r="C6" s="96"/>
      <c r="D6" s="96"/>
      <c r="E6" s="96"/>
      <c r="F6" s="97"/>
      <c r="G6" s="24">
        <f>G5*'Fane 14. Nøgletal'!C18</f>
        <v>1399455.7286058199</v>
      </c>
      <c r="H6" s="14" t="s">
        <v>3</v>
      </c>
      <c r="I6" s="1"/>
    </row>
    <row r="7" spans="1:9" x14ac:dyDescent="0.25">
      <c r="A7" s="1"/>
      <c r="B7" s="38"/>
      <c r="C7" s="32"/>
      <c r="D7" s="32"/>
      <c r="E7" s="32"/>
      <c r="F7" s="32"/>
      <c r="G7" s="32"/>
      <c r="H7" s="20"/>
      <c r="I7" s="1"/>
    </row>
    <row r="8" spans="1:9" x14ac:dyDescent="0.25">
      <c r="A8" s="1"/>
      <c r="B8" s="1"/>
      <c r="C8" s="1"/>
      <c r="D8" s="1"/>
      <c r="E8" s="1"/>
      <c r="F8" s="1"/>
      <c r="G8" s="1"/>
      <c r="H8" s="1"/>
      <c r="I8" s="1"/>
    </row>
    <row r="9" spans="1:9" x14ac:dyDescent="0.25">
      <c r="A9" s="1"/>
      <c r="B9" s="92" t="s">
        <v>79</v>
      </c>
      <c r="C9" s="93"/>
      <c r="D9" s="93"/>
      <c r="E9" s="93"/>
      <c r="F9" s="93"/>
      <c r="G9" s="93"/>
      <c r="H9" s="94"/>
      <c r="I9" s="1"/>
    </row>
    <row r="10" spans="1:9" x14ac:dyDescent="0.25">
      <c r="A10" s="1"/>
      <c r="B10" s="95" t="s">
        <v>80</v>
      </c>
      <c r="C10" s="96"/>
      <c r="D10" s="96"/>
      <c r="E10" s="96"/>
      <c r="F10" s="97"/>
      <c r="G10" s="24">
        <f>(G5-G6)*(1+'Fane 14. Nøgletal'!C10)</f>
        <v>155053658.61553061</v>
      </c>
      <c r="H10" s="14" t="s">
        <v>3</v>
      </c>
      <c r="I10" s="1"/>
    </row>
    <row r="11" spans="1:9" x14ac:dyDescent="0.25">
      <c r="A11" s="1"/>
      <c r="B11" s="95" t="s">
        <v>183</v>
      </c>
      <c r="C11" s="96"/>
      <c r="D11" s="96"/>
      <c r="E11" s="96"/>
      <c r="F11" s="97"/>
      <c r="G11" s="24">
        <v>-839589.86806518084</v>
      </c>
      <c r="H11" s="14" t="s">
        <v>3</v>
      </c>
      <c r="I11" s="1"/>
    </row>
    <row r="12" spans="1:9" x14ac:dyDescent="0.25">
      <c r="A12" s="1"/>
      <c r="B12" s="98" t="s">
        <v>81</v>
      </c>
      <c r="C12" s="99"/>
      <c r="D12" s="99"/>
      <c r="E12" s="99"/>
      <c r="F12" s="100"/>
      <c r="G12" s="24">
        <v>0</v>
      </c>
      <c r="H12" s="14" t="s">
        <v>3</v>
      </c>
      <c r="I12" s="1"/>
    </row>
    <row r="13" spans="1:9" x14ac:dyDescent="0.25">
      <c r="A13" s="1"/>
      <c r="B13" s="95" t="s">
        <v>82</v>
      </c>
      <c r="C13" s="96"/>
      <c r="D13" s="96"/>
      <c r="E13" s="96"/>
      <c r="F13" s="97"/>
      <c r="G13" s="24">
        <f>SUM(G10:G12)*'Fane 14. Nøgletal'!C19</f>
        <v>2729589.0168301384</v>
      </c>
      <c r="H13" s="14" t="s">
        <v>3</v>
      </c>
      <c r="I13" s="1"/>
    </row>
    <row r="14" spans="1:9" x14ac:dyDescent="0.25">
      <c r="A14" s="1"/>
      <c r="B14" s="38"/>
      <c r="C14" s="32"/>
      <c r="D14" s="32"/>
      <c r="E14" s="32"/>
      <c r="F14" s="32"/>
      <c r="G14" s="32"/>
      <c r="H14" s="20"/>
      <c r="I14" s="1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92" t="s">
        <v>83</v>
      </c>
      <c r="C16" s="93"/>
      <c r="D16" s="93"/>
      <c r="E16" s="93"/>
      <c r="F16" s="93"/>
      <c r="G16" s="93"/>
      <c r="H16" s="94"/>
      <c r="I16" s="1"/>
    </row>
    <row r="17" spans="1:9" x14ac:dyDescent="0.25">
      <c r="A17" s="1"/>
      <c r="B17" s="95" t="s">
        <v>84</v>
      </c>
      <c r="C17" s="96"/>
      <c r="D17" s="96"/>
      <c r="E17" s="96"/>
      <c r="F17" s="97"/>
      <c r="G17" s="24">
        <f>(SUM(G10:G12)-G13)*(1+'Fane 14. Nøgletal'!C10)</f>
        <v>154135458.12592143</v>
      </c>
      <c r="H17" s="14" t="s">
        <v>3</v>
      </c>
      <c r="I17" s="1"/>
    </row>
    <row r="18" spans="1:9" x14ac:dyDescent="0.25">
      <c r="A18" s="1"/>
      <c r="B18" s="98" t="s">
        <v>85</v>
      </c>
      <c r="C18" s="99"/>
      <c r="D18" s="99"/>
      <c r="E18" s="99"/>
      <c r="F18" s="100"/>
      <c r="G18" s="24">
        <v>3323768.3085180991</v>
      </c>
      <c r="H18" s="14" t="s">
        <v>3</v>
      </c>
      <c r="I18" s="1"/>
    </row>
    <row r="19" spans="1:9" x14ac:dyDescent="0.25">
      <c r="A19" s="1"/>
      <c r="B19" s="95" t="s">
        <v>86</v>
      </c>
      <c r="C19" s="96"/>
      <c r="D19" s="96"/>
      <c r="E19" s="96"/>
      <c r="F19" s="97"/>
      <c r="G19" s="24">
        <f>G17*'Fane 14. Nøgletal'!C19+G18*'Fane 14. Nøgletal'!C20</f>
        <v>2757114.393112917</v>
      </c>
      <c r="H19" s="14" t="s">
        <v>3</v>
      </c>
      <c r="I19" s="1"/>
    </row>
    <row r="20" spans="1:9" x14ac:dyDescent="0.25">
      <c r="A20" s="1"/>
      <c r="B20" s="38"/>
      <c r="C20" s="32"/>
      <c r="D20" s="32"/>
      <c r="E20" s="32"/>
      <c r="F20" s="32"/>
      <c r="G20" s="32"/>
      <c r="H20" s="20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92" t="s">
        <v>87</v>
      </c>
      <c r="C22" s="93"/>
      <c r="D22" s="93"/>
      <c r="E22" s="93"/>
      <c r="F22" s="93"/>
      <c r="G22" s="93"/>
      <c r="H22" s="94"/>
      <c r="I22" s="1"/>
    </row>
    <row r="23" spans="1:9" x14ac:dyDescent="0.25">
      <c r="A23" s="1"/>
      <c r="B23" s="95" t="s">
        <v>88</v>
      </c>
      <c r="C23" s="96"/>
      <c r="D23" s="96"/>
      <c r="E23" s="96"/>
      <c r="F23" s="97"/>
      <c r="G23" s="24">
        <f>(G17+G18-G19)*(1+'Fane 14. Nøgletal'!C12)</f>
        <v>157749743.64854077</v>
      </c>
      <c r="H23" s="14" t="s">
        <v>3</v>
      </c>
      <c r="I23" s="1"/>
    </row>
    <row r="24" spans="1:9" x14ac:dyDescent="0.25">
      <c r="A24" s="1"/>
      <c r="B24" s="98" t="s">
        <v>89</v>
      </c>
      <c r="C24" s="99"/>
      <c r="D24" s="99"/>
      <c r="E24" s="99"/>
      <c r="F24" s="100"/>
      <c r="G24" s="24">
        <v>2927281.09677003</v>
      </c>
      <c r="H24" s="14" t="s">
        <v>3</v>
      </c>
      <c r="I24" s="1"/>
    </row>
    <row r="25" spans="1:9" x14ac:dyDescent="0.25">
      <c r="A25" s="1"/>
      <c r="B25" s="95" t="s">
        <v>90</v>
      </c>
      <c r="C25" s="96"/>
      <c r="D25" s="96"/>
      <c r="E25" s="96"/>
      <c r="F25" s="97"/>
      <c r="G25" s="24">
        <f>(G23+G24)*'Fane 14. Nøgletal'!C21</f>
        <v>4563227.5027668262</v>
      </c>
      <c r="H25" s="14" t="s">
        <v>3</v>
      </c>
      <c r="I25" s="1"/>
    </row>
    <row r="26" spans="1:9" x14ac:dyDescent="0.25">
      <c r="A26" s="1"/>
      <c r="B26" s="38"/>
      <c r="C26" s="32"/>
      <c r="D26" s="32"/>
      <c r="E26" s="32"/>
      <c r="F26" s="32"/>
      <c r="G26" s="32"/>
      <c r="H26" s="20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92" t="s">
        <v>91</v>
      </c>
      <c r="C28" s="93"/>
      <c r="D28" s="93"/>
      <c r="E28" s="93"/>
      <c r="F28" s="93"/>
      <c r="G28" s="93"/>
      <c r="H28" s="94"/>
      <c r="I28" s="1"/>
    </row>
    <row r="29" spans="1:9" x14ac:dyDescent="0.25">
      <c r="A29" s="1"/>
      <c r="B29" s="95" t="s">
        <v>92</v>
      </c>
      <c r="C29" s="96"/>
      <c r="D29" s="96"/>
      <c r="E29" s="96"/>
      <c r="F29" s="97"/>
      <c r="G29" s="24">
        <f>(G23+G24-G25)*(1+'Fane 14. Nøgletal'!C12)</f>
        <v>159189239.04822209</v>
      </c>
      <c r="H29" s="14" t="s">
        <v>3</v>
      </c>
      <c r="I29" s="1"/>
    </row>
    <row r="30" spans="1:9" x14ac:dyDescent="0.25">
      <c r="A30" s="1"/>
      <c r="B30" s="95" t="s">
        <v>235</v>
      </c>
      <c r="C30" s="96"/>
      <c r="D30" s="96"/>
      <c r="E30" s="96"/>
      <c r="F30" s="97"/>
      <c r="G30" s="24">
        <f>SUM('Fane 2.1. Økonomisk ramme 2021'!C11,'Fane 2.1. Økonomisk ramme 2021'!C13,'Fane 2.1. Økonomisk ramme 2021'!C15)*(1+'Fane 14. Nøgletal'!C13)</f>
        <v>16376272.211754007</v>
      </c>
      <c r="H30" s="14" t="s">
        <v>3</v>
      </c>
      <c r="I30" s="1"/>
    </row>
    <row r="31" spans="1:9" x14ac:dyDescent="0.25">
      <c r="A31" s="1"/>
      <c r="B31" s="95" t="s">
        <v>93</v>
      </c>
      <c r="C31" s="96"/>
      <c r="D31" s="96"/>
      <c r="E31" s="96"/>
      <c r="F31" s="97"/>
      <c r="G31" s="24">
        <f>G29*'Fane 14. Nøgletal'!C21+G30*'Fane 14. Nøgletal'!C22</f>
        <v>4971321.8747927435</v>
      </c>
      <c r="H31" s="14" t="s">
        <v>3</v>
      </c>
      <c r="I31" s="1"/>
    </row>
    <row r="32" spans="1:9" x14ac:dyDescent="0.25">
      <c r="A32" s="1"/>
      <c r="B32" s="38"/>
      <c r="C32" s="32"/>
      <c r="D32" s="32"/>
      <c r="E32" s="32"/>
      <c r="F32" s="32"/>
      <c r="G32" s="32"/>
      <c r="H32" s="20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92" t="s">
        <v>102</v>
      </c>
      <c r="C34" s="93"/>
      <c r="D34" s="93"/>
      <c r="E34" s="93"/>
      <c r="F34" s="93"/>
      <c r="G34" s="93"/>
      <c r="H34" s="94"/>
      <c r="I34" s="1"/>
    </row>
    <row r="35" spans="1:9" x14ac:dyDescent="0.25">
      <c r="A35" s="1"/>
      <c r="B35" s="95" t="s">
        <v>97</v>
      </c>
      <c r="C35" s="96"/>
      <c r="D35" s="96"/>
      <c r="E35" s="96"/>
      <c r="F35" s="97"/>
      <c r="G35" s="24">
        <f>(G29+G30-G31)*(1+'Fane 14. Nøgletal'!C13)</f>
        <v>172675438.49568257</v>
      </c>
      <c r="H35" s="14" t="s">
        <v>3</v>
      </c>
      <c r="I35" s="1"/>
    </row>
    <row r="36" spans="1:9" x14ac:dyDescent="0.25">
      <c r="A36" s="1"/>
      <c r="B36" s="95" t="s">
        <v>122</v>
      </c>
      <c r="C36" s="96"/>
      <c r="D36" s="96"/>
      <c r="E36" s="96"/>
      <c r="F36" s="97"/>
      <c r="G36" s="24">
        <f>-'Fane 13. Bortfald'!E18*(1+'Fane 14. Nøgletal'!C12)</f>
        <v>0</v>
      </c>
      <c r="H36" s="14" t="s">
        <v>3</v>
      </c>
      <c r="I36" s="1"/>
    </row>
    <row r="37" spans="1:9" x14ac:dyDescent="0.25">
      <c r="A37" s="1"/>
      <c r="B37" s="95" t="s">
        <v>94</v>
      </c>
      <c r="C37" s="96"/>
      <c r="D37" s="96"/>
      <c r="E37" s="96"/>
      <c r="F37" s="97"/>
      <c r="G37" s="24">
        <f>(G35+G36)*'Fane 14. Nøgletal'!C22</f>
        <v>4748574.5586312702</v>
      </c>
      <c r="H37" s="14" t="s">
        <v>3</v>
      </c>
      <c r="I37" s="1"/>
    </row>
    <row r="38" spans="1:9" x14ac:dyDescent="0.25">
      <c r="A38" s="1"/>
      <c r="B38" s="38"/>
      <c r="C38" s="32"/>
      <c r="D38" s="32"/>
      <c r="E38" s="32"/>
      <c r="F38" s="32"/>
      <c r="G38" s="32"/>
      <c r="H38" s="20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92" t="s">
        <v>103</v>
      </c>
      <c r="C40" s="93"/>
      <c r="D40" s="93"/>
      <c r="E40" s="93"/>
      <c r="F40" s="93"/>
      <c r="G40" s="93"/>
      <c r="H40" s="94"/>
      <c r="I40" s="1"/>
    </row>
    <row r="41" spans="1:9" x14ac:dyDescent="0.25">
      <c r="A41" s="1"/>
      <c r="B41" s="95" t="s">
        <v>96</v>
      </c>
      <c r="C41" s="96"/>
      <c r="D41" s="96"/>
      <c r="E41" s="96"/>
      <c r="F41" s="97"/>
      <c r="G41" s="24">
        <f>(G35+G36-G37)*(1+'Fane 14. Nøgletal'!C13)</f>
        <v>169975571.67708331</v>
      </c>
      <c r="H41" s="14" t="s">
        <v>3</v>
      </c>
      <c r="I41" s="1"/>
    </row>
    <row r="42" spans="1:9" x14ac:dyDescent="0.25">
      <c r="A42" s="1"/>
      <c r="B42" s="95" t="s">
        <v>123</v>
      </c>
      <c r="C42" s="96"/>
      <c r="D42" s="96"/>
      <c r="E42" s="96"/>
      <c r="F42" s="97"/>
      <c r="G42" s="24">
        <f>-'Fane 13. Bortfald'!E24*(1+'Fane 14. Nøgletal'!C13)</f>
        <v>0</v>
      </c>
      <c r="H42" s="14" t="s">
        <v>3</v>
      </c>
      <c r="I42" s="1"/>
    </row>
    <row r="43" spans="1:9" x14ac:dyDescent="0.25">
      <c r="A43" s="1"/>
      <c r="B43" s="95" t="s">
        <v>95</v>
      </c>
      <c r="C43" s="96"/>
      <c r="D43" s="96"/>
      <c r="E43" s="96"/>
      <c r="F43" s="97"/>
      <c r="G43" s="24">
        <f>(G41+G42)*'Fane 14. Nøgletal'!C22</f>
        <v>4674328.2211197913</v>
      </c>
      <c r="H43" s="14" t="s">
        <v>3</v>
      </c>
      <c r="I43" s="1"/>
    </row>
    <row r="44" spans="1:9" x14ac:dyDescent="0.25">
      <c r="A44" s="1"/>
      <c r="B44" s="38"/>
      <c r="C44" s="32"/>
      <c r="D44" s="32"/>
      <c r="E44" s="32"/>
      <c r="F44" s="32"/>
      <c r="G44" s="32"/>
      <c r="H44" s="20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92" t="s">
        <v>240</v>
      </c>
      <c r="C46" s="93"/>
      <c r="D46" s="93"/>
      <c r="E46" s="93"/>
      <c r="F46" s="93"/>
      <c r="G46" s="93"/>
      <c r="H46" s="94"/>
      <c r="I46" s="1"/>
    </row>
    <row r="47" spans="1:9" x14ac:dyDescent="0.25">
      <c r="A47" s="1"/>
      <c r="B47" s="95" t="s">
        <v>241</v>
      </c>
      <c r="C47" s="96"/>
      <c r="D47" s="96"/>
      <c r="E47" s="96"/>
      <c r="F47" s="97"/>
      <c r="G47" s="24">
        <f>(G41+G42-G43)*(1+'Fane 14. Nøgletal'!C13)</f>
        <v>167317918.62612629</v>
      </c>
      <c r="H47" s="14" t="s">
        <v>3</v>
      </c>
      <c r="I47" s="1"/>
    </row>
    <row r="48" spans="1:9" x14ac:dyDescent="0.25">
      <c r="A48" s="1"/>
      <c r="B48" s="95" t="s">
        <v>242</v>
      </c>
      <c r="C48" s="96"/>
      <c r="D48" s="96"/>
      <c r="E48" s="96"/>
      <c r="F48" s="97"/>
      <c r="G48" s="24">
        <f>-'Fane 13. Bortfald'!E30*(1+'Fane 14. Nøgletal'!C13)</f>
        <v>0</v>
      </c>
      <c r="H48" s="14" t="s">
        <v>3</v>
      </c>
      <c r="I48" s="1"/>
    </row>
    <row r="49" spans="1:9" x14ac:dyDescent="0.25">
      <c r="A49" s="1"/>
      <c r="B49" s="95" t="s">
        <v>243</v>
      </c>
      <c r="C49" s="96"/>
      <c r="D49" s="96"/>
      <c r="E49" s="96"/>
      <c r="F49" s="97"/>
      <c r="G49" s="24">
        <f>(G47+G48)*'Fane 14. Nøgletal'!C22</f>
        <v>4601242.7622184725</v>
      </c>
      <c r="H49" s="14" t="s">
        <v>3</v>
      </c>
      <c r="I49" s="1"/>
    </row>
    <row r="50" spans="1:9" x14ac:dyDescent="0.25">
      <c r="A50" s="1"/>
      <c r="B50" s="38"/>
      <c r="C50" s="32"/>
      <c r="D50" s="32"/>
      <c r="E50" s="32"/>
      <c r="F50" s="32"/>
      <c r="G50" s="32"/>
      <c r="H50" s="20"/>
      <c r="I50" s="1"/>
    </row>
  </sheetData>
  <sheetProtection algorithmName="SHA-512" hashValue="HQd8fu2O0UQyq2p+hofL0EMqAnN7doeOX7evJC7uq77yHQxLtsTOXW5Sjwp273kKZI9c/15OTZtAGUKy68mO0A==" saltValue="R6BR+4GKvvc/ldveeAxOaA==" spinCount="100000" sheet="1" objects="1" scenarios="1"/>
  <mergeCells count="33">
    <mergeCell ref="B1:H3"/>
    <mergeCell ref="B46:H46"/>
    <mergeCell ref="B47:F47"/>
    <mergeCell ref="B48:F48"/>
    <mergeCell ref="B49:F49"/>
    <mergeCell ref="B35:F35"/>
    <mergeCell ref="B43:F43"/>
    <mergeCell ref="B19:F19"/>
    <mergeCell ref="B4:H4"/>
    <mergeCell ref="B5:F5"/>
    <mergeCell ref="B6:F6"/>
    <mergeCell ref="B9:H9"/>
    <mergeCell ref="B10:F10"/>
    <mergeCell ref="B12:F12"/>
    <mergeCell ref="B13:F13"/>
    <mergeCell ref="B16:H16"/>
    <mergeCell ref="B17:F17"/>
    <mergeCell ref="B18:F18"/>
    <mergeCell ref="B30:F30"/>
    <mergeCell ref="B22:H22"/>
    <mergeCell ref="B11:F11"/>
    <mergeCell ref="B42:F42"/>
    <mergeCell ref="B23:F23"/>
    <mergeCell ref="B24:F24"/>
    <mergeCell ref="B25:F25"/>
    <mergeCell ref="B37:F37"/>
    <mergeCell ref="B40:H40"/>
    <mergeCell ref="B41:F41"/>
    <mergeCell ref="B28:H28"/>
    <mergeCell ref="B29:F29"/>
    <mergeCell ref="B31:F31"/>
    <mergeCell ref="B34:H34"/>
    <mergeCell ref="B36:F36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8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2" customWidth="1"/>
    <col min="2" max="5" width="9.140625" style="2"/>
    <col min="6" max="6" width="19.85546875" style="2" customWidth="1"/>
    <col min="7" max="7" width="10.28515625" style="2" customWidth="1"/>
    <col min="8" max="8" width="3.28515625" style="2" customWidth="1"/>
    <col min="9" max="9" width="7.85546875" style="2" customWidth="1"/>
    <col min="10" max="16384" width="9.140625" style="2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1"/>
      <c r="B2" s="1"/>
      <c r="C2" s="1"/>
      <c r="D2" s="1"/>
      <c r="E2" s="1"/>
      <c r="F2" s="1"/>
      <c r="G2" s="1"/>
      <c r="H2" s="1"/>
      <c r="I2" s="1"/>
    </row>
    <row r="3" spans="1:9" ht="15" customHeight="1" x14ac:dyDescent="0.25">
      <c r="A3" s="1"/>
      <c r="B3" s="78" t="s">
        <v>116</v>
      </c>
      <c r="C3" s="78"/>
      <c r="D3" s="78"/>
      <c r="E3" s="78"/>
      <c r="F3" s="78"/>
      <c r="G3" s="78"/>
      <c r="H3" s="78"/>
      <c r="I3" s="1"/>
    </row>
    <row r="4" spans="1:9" ht="15" customHeight="1" x14ac:dyDescent="0.25">
      <c r="A4" s="1"/>
      <c r="B4" s="78"/>
      <c r="C4" s="78"/>
      <c r="D4" s="78"/>
      <c r="E4" s="78"/>
      <c r="F4" s="78"/>
      <c r="G4" s="78"/>
      <c r="H4" s="78"/>
      <c r="I4" s="1"/>
    </row>
    <row r="5" spans="1:9" x14ac:dyDescent="0.25">
      <c r="A5" s="1"/>
      <c r="B5" s="1"/>
      <c r="C5" s="1"/>
      <c r="D5" s="1"/>
      <c r="E5" s="1"/>
      <c r="F5" s="1"/>
      <c r="G5" s="1"/>
      <c r="H5" s="1"/>
      <c r="I5" s="1"/>
    </row>
    <row r="6" spans="1:9" x14ac:dyDescent="0.25">
      <c r="A6" s="1"/>
      <c r="B6" s="1"/>
      <c r="C6" s="1"/>
      <c r="D6" s="1"/>
      <c r="E6" s="1"/>
      <c r="F6" s="1"/>
      <c r="G6" s="1"/>
      <c r="H6" s="1"/>
      <c r="I6" s="1"/>
    </row>
    <row r="7" spans="1:9" x14ac:dyDescent="0.25">
      <c r="A7" s="1"/>
      <c r="B7" s="1"/>
      <c r="C7" s="1"/>
      <c r="D7" s="1"/>
      <c r="E7" s="1"/>
      <c r="F7" s="1"/>
      <c r="G7" s="1"/>
      <c r="H7" s="1"/>
      <c r="I7" s="1"/>
    </row>
    <row r="8" spans="1:9" x14ac:dyDescent="0.25">
      <c r="A8" s="1"/>
      <c r="B8" s="92" t="s">
        <v>10</v>
      </c>
      <c r="C8" s="93"/>
      <c r="D8" s="93"/>
      <c r="E8" s="93"/>
      <c r="F8" s="93"/>
      <c r="G8" s="93"/>
      <c r="H8" s="94"/>
      <c r="I8" s="1"/>
    </row>
    <row r="9" spans="1:9" x14ac:dyDescent="0.25">
      <c r="A9" s="1"/>
      <c r="B9" s="95" t="s">
        <v>104</v>
      </c>
      <c r="C9" s="96"/>
      <c r="D9" s="96"/>
      <c r="E9" s="96"/>
      <c r="F9" s="97"/>
      <c r="G9" s="23">
        <v>1.1123892467753661E-3</v>
      </c>
      <c r="H9" s="14"/>
      <c r="I9" s="1"/>
    </row>
    <row r="10" spans="1:9" x14ac:dyDescent="0.25">
      <c r="A10" s="1"/>
      <c r="B10" s="95" t="s">
        <v>105</v>
      </c>
      <c r="C10" s="96"/>
      <c r="D10" s="96"/>
      <c r="E10" s="96"/>
      <c r="F10" s="97"/>
      <c r="G10" s="23">
        <v>4.5263380820921399E-3</v>
      </c>
      <c r="H10" s="14"/>
      <c r="I10" s="1"/>
    </row>
    <row r="11" spans="1:9" x14ac:dyDescent="0.25">
      <c r="A11" s="1"/>
      <c r="B11" s="95" t="s">
        <v>106</v>
      </c>
      <c r="C11" s="96"/>
      <c r="D11" s="96"/>
      <c r="E11" s="96"/>
      <c r="F11" s="97"/>
      <c r="G11" s="41">
        <v>7.8695404484839318E-3</v>
      </c>
      <c r="H11" s="14"/>
      <c r="I11" s="1"/>
    </row>
    <row r="12" spans="1:9" x14ac:dyDescent="0.25">
      <c r="A12" s="1"/>
      <c r="B12" s="38"/>
      <c r="C12" s="32"/>
      <c r="D12" s="32"/>
      <c r="E12" s="32"/>
      <c r="F12" s="32"/>
      <c r="G12" s="32"/>
      <c r="H12" s="20"/>
      <c r="I12" s="1"/>
    </row>
    <row r="13" spans="1:9" ht="40.5" customHeight="1" x14ac:dyDescent="0.25">
      <c r="A13" s="1"/>
      <c r="B13" s="80" t="s">
        <v>258</v>
      </c>
      <c r="C13" s="81"/>
      <c r="D13" s="81"/>
      <c r="E13" s="81"/>
      <c r="F13" s="81"/>
      <c r="G13" s="81"/>
      <c r="H13" s="82"/>
      <c r="I13" s="1"/>
    </row>
    <row r="14" spans="1:9" ht="14.25" customHeight="1" x14ac:dyDescent="0.25">
      <c r="A14" s="18"/>
      <c r="B14" s="103"/>
      <c r="C14" s="103"/>
      <c r="D14" s="103"/>
      <c r="E14" s="103"/>
      <c r="F14" s="103"/>
      <c r="G14" s="103"/>
      <c r="H14" s="103"/>
      <c r="I14" s="18"/>
    </row>
    <row r="15" spans="1:9" x14ac:dyDescent="0.25">
      <c r="A15" s="1"/>
      <c r="B15" s="1"/>
      <c r="C15" s="1"/>
      <c r="D15" s="1"/>
      <c r="E15" s="1"/>
      <c r="F15" s="1"/>
      <c r="G15" s="1"/>
      <c r="H15" s="1"/>
      <c r="I15" s="1"/>
    </row>
    <row r="16" spans="1:9" x14ac:dyDescent="0.25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5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5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5">
      <c r="A19" s="1"/>
      <c r="B19" s="1"/>
      <c r="C19" s="1"/>
      <c r="D19" s="1"/>
      <c r="E19" s="1"/>
      <c r="F19" s="1"/>
      <c r="G19" s="1"/>
      <c r="H19" s="1"/>
      <c r="I19" s="1"/>
    </row>
    <row r="20" spans="1:9" x14ac:dyDescent="0.25">
      <c r="A20" s="1"/>
      <c r="B20" s="1"/>
      <c r="C20" s="1"/>
      <c r="D20" s="1"/>
      <c r="E20" s="1"/>
      <c r="F20" s="1"/>
      <c r="G20" s="1"/>
      <c r="H20" s="1"/>
      <c r="I20" s="1"/>
    </row>
    <row r="21" spans="1:9" x14ac:dyDescent="0.25">
      <c r="A21" s="1"/>
      <c r="B21" s="1"/>
      <c r="C21" s="1"/>
      <c r="D21" s="1"/>
      <c r="E21" s="1"/>
      <c r="F21" s="1"/>
      <c r="G21" s="1"/>
      <c r="H21" s="1"/>
      <c r="I21" s="1"/>
    </row>
    <row r="22" spans="1:9" x14ac:dyDescent="0.25">
      <c r="A22" s="1"/>
      <c r="B22" s="1"/>
      <c r="C22" s="1"/>
      <c r="D22" s="1"/>
      <c r="E22" s="1"/>
      <c r="F22" s="1"/>
      <c r="G22" s="1"/>
      <c r="H22" s="1"/>
      <c r="I22" s="1"/>
    </row>
    <row r="23" spans="1:9" x14ac:dyDescent="0.25">
      <c r="A23" s="1"/>
      <c r="B23" s="1"/>
      <c r="C23" s="1"/>
      <c r="D23" s="1"/>
      <c r="E23" s="1"/>
      <c r="F23" s="1"/>
      <c r="G23" s="1"/>
      <c r="H23" s="1"/>
      <c r="I23" s="1"/>
    </row>
    <row r="24" spans="1:9" x14ac:dyDescent="0.25">
      <c r="A24" s="1"/>
      <c r="B24" s="1"/>
      <c r="C24" s="1"/>
      <c r="D24" s="1"/>
      <c r="E24" s="1"/>
      <c r="F24" s="1"/>
      <c r="G24" s="1"/>
      <c r="H24" s="1"/>
      <c r="I24" s="1"/>
    </row>
    <row r="25" spans="1:9" x14ac:dyDescent="0.25">
      <c r="A25" s="1"/>
      <c r="B25" s="1"/>
      <c r="C25" s="1"/>
      <c r="D25" s="1"/>
      <c r="E25" s="1"/>
      <c r="F25" s="1"/>
      <c r="G25" s="1"/>
      <c r="H25" s="1"/>
      <c r="I25" s="1"/>
    </row>
    <row r="26" spans="1:9" x14ac:dyDescent="0.25">
      <c r="A26" s="1"/>
      <c r="B26" s="1"/>
      <c r="C26" s="1"/>
      <c r="D26" s="1"/>
      <c r="E26" s="1"/>
      <c r="F26" s="1"/>
      <c r="G26" s="1"/>
      <c r="H26" s="1"/>
      <c r="I26" s="1"/>
    </row>
    <row r="27" spans="1:9" x14ac:dyDescent="0.25">
      <c r="A27" s="1"/>
      <c r="B27" s="1"/>
      <c r="C27" s="1"/>
      <c r="D27" s="1"/>
      <c r="E27" s="1"/>
      <c r="F27" s="1"/>
      <c r="G27" s="1"/>
      <c r="H27" s="1"/>
      <c r="I27" s="1"/>
    </row>
    <row r="28" spans="1:9" x14ac:dyDescent="0.25">
      <c r="A28" s="1"/>
      <c r="B28" s="1"/>
      <c r="C28" s="1"/>
      <c r="D28" s="1"/>
      <c r="E28" s="1"/>
      <c r="F28" s="1"/>
      <c r="G28" s="1"/>
      <c r="H28" s="1"/>
      <c r="I28" s="1"/>
    </row>
    <row r="29" spans="1:9" x14ac:dyDescent="0.25">
      <c r="A29" s="1"/>
      <c r="B29" s="1"/>
      <c r="C29" s="1"/>
      <c r="D29" s="1"/>
      <c r="E29" s="1"/>
      <c r="F29" s="1"/>
      <c r="G29" s="1"/>
      <c r="H29" s="1"/>
      <c r="I29" s="1"/>
    </row>
    <row r="30" spans="1:9" x14ac:dyDescent="0.25">
      <c r="A30" s="1"/>
      <c r="B30" s="1"/>
      <c r="C30" s="1"/>
      <c r="D30" s="1"/>
      <c r="E30" s="1"/>
      <c r="F30" s="1"/>
      <c r="G30" s="1"/>
      <c r="H30" s="1"/>
      <c r="I30" s="1"/>
    </row>
    <row r="31" spans="1:9" x14ac:dyDescent="0.25">
      <c r="A31" s="1"/>
      <c r="B31" s="1"/>
      <c r="C31" s="1"/>
      <c r="D31" s="1"/>
      <c r="E31" s="1"/>
      <c r="F31" s="1"/>
      <c r="G31" s="1"/>
      <c r="H31" s="1"/>
      <c r="I31" s="1"/>
    </row>
    <row r="32" spans="1:9" x14ac:dyDescent="0.25">
      <c r="A32" s="1"/>
      <c r="B32" s="1"/>
      <c r="C32" s="1"/>
      <c r="D32" s="1"/>
      <c r="E32" s="1"/>
      <c r="F32" s="1"/>
      <c r="G32" s="1"/>
      <c r="H32" s="1"/>
      <c r="I32" s="1"/>
    </row>
    <row r="33" spans="1:9" x14ac:dyDescent="0.25">
      <c r="A33" s="1"/>
      <c r="B33" s="1"/>
      <c r="C33" s="1"/>
      <c r="D33" s="1"/>
      <c r="E33" s="1"/>
      <c r="F33" s="1"/>
      <c r="G33" s="1"/>
      <c r="H33" s="1"/>
      <c r="I33" s="1"/>
    </row>
    <row r="34" spans="1:9" x14ac:dyDescent="0.25">
      <c r="A34" s="1"/>
      <c r="B34" s="1"/>
      <c r="C34" s="1"/>
      <c r="D34" s="1"/>
      <c r="E34" s="1"/>
      <c r="F34" s="1"/>
      <c r="G34" s="1"/>
      <c r="H34" s="1"/>
      <c r="I34" s="1"/>
    </row>
    <row r="35" spans="1:9" x14ac:dyDescent="0.25">
      <c r="A35" s="1"/>
      <c r="B35" s="1"/>
      <c r="C35" s="1"/>
      <c r="D35" s="1"/>
      <c r="E35" s="1"/>
      <c r="F35" s="1"/>
      <c r="G35" s="1"/>
      <c r="H35" s="1"/>
      <c r="I35" s="1"/>
    </row>
    <row r="36" spans="1:9" x14ac:dyDescent="0.25">
      <c r="A36" s="1"/>
      <c r="B36" s="1"/>
      <c r="C36" s="1"/>
      <c r="D36" s="1"/>
      <c r="E36" s="1"/>
      <c r="F36" s="1"/>
      <c r="G36" s="1"/>
      <c r="H36" s="1"/>
      <c r="I36" s="1"/>
    </row>
    <row r="37" spans="1:9" x14ac:dyDescent="0.25">
      <c r="A37" s="1"/>
      <c r="B37" s="1"/>
      <c r="C37" s="1"/>
      <c r="D37" s="1"/>
      <c r="E37" s="1"/>
      <c r="F37" s="1"/>
      <c r="G37" s="1"/>
      <c r="H37" s="1"/>
      <c r="I37" s="1"/>
    </row>
    <row r="38" spans="1:9" x14ac:dyDescent="0.25">
      <c r="A38" s="1"/>
      <c r="B38" s="1"/>
      <c r="C38" s="1"/>
      <c r="D38" s="1"/>
      <c r="E38" s="1"/>
      <c r="F38" s="1"/>
      <c r="G38" s="1"/>
      <c r="H38" s="1"/>
      <c r="I38" s="1"/>
    </row>
    <row r="39" spans="1:9" x14ac:dyDescent="0.25">
      <c r="A39" s="1"/>
      <c r="B39" s="1"/>
      <c r="C39" s="1"/>
      <c r="D39" s="1"/>
      <c r="E39" s="1"/>
      <c r="F39" s="1"/>
      <c r="G39" s="1"/>
      <c r="H39" s="1"/>
      <c r="I39" s="1"/>
    </row>
    <row r="40" spans="1:9" x14ac:dyDescent="0.25">
      <c r="A40" s="1"/>
      <c r="B40" s="1"/>
      <c r="C40" s="1"/>
      <c r="D40" s="1"/>
      <c r="E40" s="1"/>
      <c r="F40" s="1"/>
      <c r="G40" s="1"/>
      <c r="H40" s="1"/>
      <c r="I40" s="1"/>
    </row>
    <row r="41" spans="1:9" x14ac:dyDescent="0.25">
      <c r="A41" s="1"/>
      <c r="B41" s="1"/>
      <c r="C41" s="1"/>
      <c r="D41" s="1"/>
      <c r="E41" s="1"/>
      <c r="F41" s="1"/>
      <c r="G41" s="1"/>
      <c r="H41" s="1"/>
      <c r="I41" s="1"/>
    </row>
    <row r="42" spans="1:9" x14ac:dyDescent="0.25">
      <c r="A42" s="1"/>
      <c r="B42" s="1"/>
      <c r="C42" s="1"/>
      <c r="D42" s="1"/>
      <c r="E42" s="1"/>
      <c r="F42" s="1"/>
      <c r="G42" s="1"/>
      <c r="H42" s="1"/>
      <c r="I42" s="1"/>
    </row>
    <row r="43" spans="1:9" x14ac:dyDescent="0.25">
      <c r="A43" s="1"/>
      <c r="B43" s="1"/>
      <c r="C43" s="1"/>
      <c r="D43" s="1"/>
      <c r="E43" s="1"/>
      <c r="F43" s="1"/>
      <c r="G43" s="1"/>
      <c r="H43" s="1"/>
      <c r="I43" s="1"/>
    </row>
    <row r="44" spans="1:9" x14ac:dyDescent="0.25">
      <c r="A44" s="1"/>
      <c r="B44" s="1"/>
      <c r="C44" s="1"/>
      <c r="D44" s="1"/>
      <c r="E44" s="1"/>
      <c r="F44" s="1"/>
      <c r="G44" s="1"/>
      <c r="H44" s="1"/>
      <c r="I44" s="1"/>
    </row>
    <row r="45" spans="1:9" x14ac:dyDescent="0.25">
      <c r="A45" s="1"/>
      <c r="B45" s="1"/>
      <c r="C45" s="1"/>
      <c r="D45" s="1"/>
      <c r="E45" s="1"/>
      <c r="F45" s="1"/>
      <c r="G45" s="1"/>
      <c r="H45" s="1"/>
      <c r="I45" s="1"/>
    </row>
    <row r="46" spans="1:9" x14ac:dyDescent="0.25">
      <c r="A46" s="1"/>
      <c r="B46" s="1"/>
      <c r="C46" s="1"/>
      <c r="D46" s="1"/>
      <c r="E46" s="1"/>
      <c r="F46" s="1"/>
      <c r="G46" s="1"/>
      <c r="H46" s="1"/>
      <c r="I46" s="1"/>
    </row>
    <row r="47" spans="1:9" x14ac:dyDescent="0.25">
      <c r="A47" s="1"/>
      <c r="B47" s="1"/>
      <c r="C47" s="1"/>
      <c r="D47" s="1"/>
      <c r="E47" s="1"/>
      <c r="F47" s="1"/>
      <c r="G47" s="1"/>
      <c r="H47" s="1"/>
      <c r="I47" s="1"/>
    </row>
    <row r="48" spans="1:9" x14ac:dyDescent="0.25">
      <c r="A48" s="1"/>
      <c r="B48" s="1"/>
      <c r="C48" s="1"/>
      <c r="D48" s="1"/>
      <c r="E48" s="1"/>
      <c r="F48" s="1"/>
      <c r="G48" s="1"/>
      <c r="H48" s="1"/>
      <c r="I48" s="1"/>
    </row>
  </sheetData>
  <sheetProtection algorithmName="SHA-512" hashValue="NO6FES6jQWVzoLO3Zc+cOrwh2FrTSDrcO87YrDhc23eKk6W45AQ825Ki4yusYS8bMC/bscIhCAIrDKP5UT7/dw==" saltValue="wUVCPwCEsp9SGeKgAoiWiw==" spinCount="100000" sheet="1" objects="1" scenarios="1"/>
  <mergeCells count="7">
    <mergeCell ref="B3:H4"/>
    <mergeCell ref="B14:H14"/>
    <mergeCell ref="B9:F9"/>
    <mergeCell ref="B8:H8"/>
    <mergeCell ref="B10:F10"/>
    <mergeCell ref="B11:F11"/>
    <mergeCell ref="B13:H1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19</vt:i4>
      </vt:variant>
    </vt:vector>
  </HeadingPairs>
  <TitlesOfParts>
    <vt:vector size="19" baseType="lpstr">
      <vt:lpstr>1. Forside</vt:lpstr>
      <vt:lpstr>Fane 2.1. Økonomisk ramme 2021</vt:lpstr>
      <vt:lpstr>Fane 2.2. Økonomisk ramme 2022</vt:lpstr>
      <vt:lpstr>Fane 2.3. Økonomisk ramme 2023</vt:lpstr>
      <vt:lpstr>Fane 2.4. Økonomisk ramme 2024</vt:lpstr>
      <vt:lpstr>Fane 3. Omkostninger i ØR2020</vt:lpstr>
      <vt:lpstr>Fane 4.1. Gen. krav - drift</vt:lpstr>
      <vt:lpstr>Fane 4.2. Gen. krav - anlæg</vt:lpstr>
      <vt:lpstr>Fane 5. Individuelt eff. krav</vt:lpstr>
      <vt:lpstr>Fane 6. Ikke-påvirkelige omk.</vt:lpstr>
      <vt:lpstr>Fane 7. Kontrol af ØR2019</vt:lpstr>
      <vt:lpstr>Fane 8. Korrektion af ØR2019</vt:lpstr>
      <vt:lpstr>Fane 9. Anlægsprojekter</vt:lpstr>
      <vt:lpstr>Fane 10.1. Varige tillæg</vt:lpstr>
      <vt:lpstr>Fane 10.2. Engangstillæg</vt:lpstr>
      <vt:lpstr>Fane 11. Periodevise driftsomk.</vt:lpstr>
      <vt:lpstr>Fane 12. Tilknyttet virksomhed</vt:lpstr>
      <vt:lpstr>Fane 13. Bortfald</vt:lpstr>
      <vt:lpstr>Fane 14. Nøgletal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Anna Gammelby</cp:lastModifiedBy>
  <cp:lastPrinted>2016-06-14T12:57:30Z</cp:lastPrinted>
  <dcterms:created xsi:type="dcterms:W3CDTF">2016-06-02T08:51:18Z</dcterms:created>
  <dcterms:modified xsi:type="dcterms:W3CDTF">2020-10-23T08:34:16Z</dcterms:modified>
</cp:coreProperties>
</file>