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Denne_projektmappe" defaultThemeVersion="124226"/>
  <mc:AlternateContent xmlns:mc="http://schemas.openxmlformats.org/markup-compatibility/2006">
    <mc:Choice Requires="x15">
      <x15ac:absPath xmlns:x15ac="http://schemas.microsoft.com/office/spreadsheetml/2010/11/ac" url="E:\VAND\Sagsbehandling\Spildevand\Ringkøbing-Skjern Spildevand AS (S077)\ØR2024\"/>
    </mc:Choice>
  </mc:AlternateContent>
  <xr:revisionPtr revIDLastSave="0" documentId="13_ncr:1_{259AC25F-391D-428A-9CCA-FDECE1A70EB4}"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E16" i="44" l="1"/>
  <c r="E18" i="44" s="1"/>
  <c r="E17" i="44"/>
  <c r="E25" i="44" l="1"/>
  <c r="E29" i="44" s="1"/>
  <c r="E31" i="44" s="1"/>
  <c r="C9" i="2"/>
  <c r="C20" i="15" l="1"/>
  <c r="C32" i="2"/>
  <c r="E30" i="20"/>
  <c r="E29" i="20"/>
  <c r="E31" i="20" s="1"/>
  <c r="E24" i="20"/>
  <c r="E23" i="20"/>
  <c r="E25" i="20" s="1"/>
  <c r="G18" i="41" l="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G55" i="36" s="1"/>
  <c r="C19" i="2" s="1"/>
  <c r="G52" i="30" l="1"/>
  <c r="G54" i="30" s="1"/>
  <c r="G58" i="30" s="1"/>
  <c r="G59" i="36"/>
  <c r="G60" i="36" s="1"/>
  <c r="C13" i="15" s="1"/>
  <c r="C16" i="2"/>
  <c r="C17" i="2" s="1"/>
  <c r="C18" i="2" l="1"/>
  <c r="C20" i="2" s="1"/>
  <c r="G64" i="36"/>
  <c r="G65" i="36" s="1"/>
  <c r="C13" i="22" s="1"/>
  <c r="G69" i="36" l="1"/>
  <c r="G70" i="36" s="1"/>
  <c r="C13" i="23" s="1"/>
  <c r="G59" i="30"/>
  <c r="G63" i="30" s="1"/>
  <c r="G64" i="30" l="1"/>
  <c r="G68" i="30" s="1"/>
  <c r="C12" i="15"/>
  <c r="C37" i="2"/>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<sst xmlns="http://schemas.openxmlformats.org/spreadsheetml/2006/main" count="655" uniqueCount="291">
  <si>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</si>
  <si>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</si>
  <si>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</si>
  <si>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</si>
  <si>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</si>
  <si>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</si>
  <si>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</si>
  <si>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</si>
  <si>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</si>
  <si>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</si>
  <si>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</si>
  <si>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</si>
  <si>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</si>
  <si>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</si>
  <si>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</si>
  <si>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</si>
  <si>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</si>
  <si>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</si>
  <si>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</si>
  <si>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</si>
  <si>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</si>
  <si>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</si>
  <si>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</si>
  <si>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</si>
  <si>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</si>
  <si>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</si>
  <si>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</si>
  <si>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</si>
  <si>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</si>
  <si>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</si>
  <si>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</si>
  <si>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</si>
  <si>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</si>
  <si>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</si>
  <si>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</si>
  <si>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</si>
  <si>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</si>
  <si>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</si>
  <si>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</si>
  <si>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</si>
  <si>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</si>
  <si>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</si>
  <si>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</si>
  <si>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</si>
  <si>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</si>
  <si>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</si>
  <si>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</si>
  <si>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</si>
  <si>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</si>
  <si>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</si>
  <si>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</si>
  <si>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</si>
  <si>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</si>
  <si>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</si>
  <si>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</si>
  <si>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</si>
  <si>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</si>
  <si>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</si>
  <si>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</si>
  <si>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</si>
  <si>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</si>
  <si>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</si>
  <si>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</si>
  <si>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</si>
  <si>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</si>
  <si>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</si>
  <si>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</si>
  <si>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</si>
  <si>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</si>
  <si>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</si>
  <si>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</si>
  <si>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</si>
  <si>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</si>
  <si>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</si>
  <si>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</si>
  <si>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</si>
  <si>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</si>
  <si>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</si>
  <si>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</si>
  <si>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</si>
  <si>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</si>
  <si>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</si>
  <si>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</si>
  <si>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</si>
  <si>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</si>
  <si>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</si>
  <si>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</si>
  <si>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</si>
  <si>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</si>
  <si>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</si>
  <si>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</si>
  <si>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</si>
  <si>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</si>
  <si>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</si>
  <si>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</si>
  <si>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</si>
  <si>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</si>
  <si>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</si>
  <si>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</si>
  <si>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</si>
  <si>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</si>
  <si>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</si>
  <si>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</si>
  <si>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</si>
  <si>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</si>
  <si>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</si>
  <si>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</si>
  <si>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</si>
  <si>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</si>
  <si>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</si>
  <si>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</si>
  <si>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</si>
  <si>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</si>
  <si>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</si>
  <si>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</si>
  <si>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</si>
  <si>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</si>
  <si>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</si>
  <si>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</si>
  <si>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</si>
  <si>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</si>
  <si>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</si>
  <si>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</si>
  <si>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</si>
  <si>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</si>
  <si>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</si>
  <si>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</si>
  <si>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</si>
  <si>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</si>
  <si>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</si>
  <si>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</si>
  <si>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</si>
  <si>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</si>
  <si>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</si>
  <si>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</si>
  <si>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</si>
  <si>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</si>
  <si>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</si>
  <si>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</si>
  <si>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</si>
  <si>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</si>
  <si>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</si>
  <si>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</si>
  <si>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</si>
  <si>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</si>
  <si>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</si>
  <si>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</si>
  <si>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</si>
  <si>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</si>
  <si>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</si>
  <si>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</si>
  <si>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</si>
  <si>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</si>
  <si>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</si>
  <si>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</si>
  <si>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</si>
  <si>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</si>
  <si>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</si>
  <si>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</si>
  <si>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</si>
  <si>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</si>
  <si>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</si>
  <si>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</si>
  <si>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</si>
  <si>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</si>
  <si>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</si>
  <si>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</si>
  <si>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</si>
  <si>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</si>
  <si>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</si>
  <si>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</si>
  <si>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</si>
  <si>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</si>
  <si>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</si>
  <si>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</si>
  <si>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</si>
  <si>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</si>
  <si>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</si>
  <si>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</si>
  <si>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</si>
  <si>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</si>
  <si>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</si>
  <si>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</si>
  <si>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</si>
  <si>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</si>
  <si>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</si>
  <si>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</si>
  <si>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</si>
  <si>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</si>
  <si>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</si>
  <si>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</si>
  <si>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</si>
  <si>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</si>
  <si>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</si>
  <si>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</si>
  <si>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</si>
  <si>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</si>
  <si>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</si>
  <si>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</si>
  <si>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</si>
  <si>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</si>
  <si>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</si>
  <si>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</si>
  <si>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</si>
  <si>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</si>
  <si>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</si>
  <si>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</si>
  <si>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</si>
  <si>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</si>
  <si>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</si>
  <si>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</si>
  <si>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</si>
  <si>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</si>
  <si>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</si>
  <si>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</si>
  <si>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</si>
  <si>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</si>
  <si>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</si>
  <si>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</si>
  <si>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</si>
  <si>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</si>
  <si>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</si>
  <si>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</si>
  <si>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</si>
  <si>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</si>
  <si>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</si>
  <si>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</si>
  <si>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</si>
  <si>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</si>
  <si>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</si>
  <si>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</si>
  <si>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</si>
  <si>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</si>
  <si>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</si>
  <si>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</si>
  <si>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</si>
  <si>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</si>
  <si>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</si>
  <si>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</si>
  <si>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</si>
  <si>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</si>
  <si>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</si>
  <si>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</si>
  <si>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</si>
  <si>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</si>
  <si>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</si>
  <si>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</si>
  <si>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</si>
  <si>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</si>
  <si>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</si>
  <si>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</si>
  <si>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</si>
  <si>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</si>
  <si>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</si>
  <si>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</si>
  <si>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</si>
  <si>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</si>
  <si>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</si>
  <si>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</si>
  <si>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</si>
  <si>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</si>
  <si>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</si>
  <si>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</si>
  <si>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</si>
  <si>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</si>
  <si>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</si>
  <si>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</si>
  <si>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</si>
  <si>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</si>
  <si>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</si>
  <si>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</si>
  <si>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</si>
  <si>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Afgift til Forsyningssekretariatet</t>
  </si>
  <si>
    <t>Køb af ydelser og produkter fra andre vandselskaber reguleret af vandsektorloven</t>
  </si>
  <si>
    <t>Ejendomsskatter</t>
  </si>
  <si>
    <t>Erstatninger</t>
  </si>
  <si>
    <t>Separatkloakering</t>
  </si>
  <si>
    <t>Sommerhuskloakering</t>
  </si>
  <si>
    <t>Ingen engangstillæg</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</si>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</sst>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1"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55" zoomScaleNormal="100" zoomScalePageLayoutView="5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02" t="s">
        <v>4</v>
      </c>
      <c r="E6" s="102"/>
      <c r="F6" s="102"/>
      <c r="G6" s="102"/>
      <c r="H6" s="3"/>
      <c r="I6" s="1"/>
    </row>
    <row r="7" spans="1:9" ht="15" customHeight="1" x14ac:dyDescent="0.25">
      <c r="A7" s="1"/>
      <c r="B7" s="1"/>
      <c r="C7" s="3"/>
      <c r="D7" s="102"/>
      <c r="E7" s="102"/>
      <c r="F7" s="102"/>
      <c r="G7" s="102"/>
      <c r="H7" s="3"/>
      <c r="I7" s="1"/>
    </row>
    <row r="8" spans="1:9" ht="15.75" x14ac:dyDescent="0.25">
      <c r="A8" s="1"/>
      <c r="B8" s="1"/>
      <c r="C8" s="4"/>
      <c r="D8" s="107" t="s">
        <v>252</v>
      </c>
      <c r="E8" s="107"/>
      <c r="F8" s="107"/>
      <c r="G8" s="107"/>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6" t="s">
        <v>5</v>
      </c>
      <c r="E11" s="106"/>
      <c r="F11" s="106"/>
      <c r="G11" s="106"/>
      <c r="H11" s="5"/>
      <c r="I11" s="1"/>
    </row>
    <row r="12" spans="1:9" x14ac:dyDescent="0.25">
      <c r="A12" s="1"/>
      <c r="B12" s="1"/>
      <c r="C12" s="1"/>
      <c r="D12" s="1"/>
      <c r="E12" s="1"/>
      <c r="F12" s="1"/>
      <c r="G12" s="1"/>
      <c r="H12" s="5"/>
      <c r="I12" s="1"/>
    </row>
    <row r="13" spans="1:9" x14ac:dyDescent="0.25">
      <c r="A13" s="1"/>
      <c r="B13" s="1"/>
      <c r="C13" s="6" t="s">
        <v>6</v>
      </c>
      <c r="D13" s="108" t="s">
        <v>196</v>
      </c>
      <c r="E13" s="109"/>
      <c r="F13" s="109"/>
      <c r="G13" s="110"/>
      <c r="H13" s="5"/>
      <c r="I13" s="1"/>
    </row>
    <row r="14" spans="1:9" x14ac:dyDescent="0.25">
      <c r="A14" s="1"/>
      <c r="B14" s="1"/>
      <c r="C14" s="6" t="s">
        <v>16</v>
      </c>
      <c r="D14" s="99" t="s">
        <v>197</v>
      </c>
      <c r="E14" s="100"/>
      <c r="F14" s="100"/>
      <c r="G14" s="101"/>
      <c r="H14" s="5"/>
      <c r="I14" s="1"/>
    </row>
    <row r="15" spans="1:9" x14ac:dyDescent="0.25">
      <c r="A15" s="1"/>
      <c r="B15" s="1"/>
      <c r="C15" s="6" t="s">
        <v>31</v>
      </c>
      <c r="D15" s="99" t="s">
        <v>262</v>
      </c>
      <c r="E15" s="100"/>
      <c r="F15" s="100"/>
      <c r="G15" s="101"/>
      <c r="H15" s="5"/>
      <c r="I15" s="1"/>
    </row>
    <row r="16" spans="1:9" x14ac:dyDescent="0.25">
      <c r="A16" s="1"/>
      <c r="B16" s="1"/>
      <c r="C16" s="6" t="s">
        <v>32</v>
      </c>
      <c r="D16" s="99" t="s">
        <v>263</v>
      </c>
      <c r="E16" s="100"/>
      <c r="F16" s="100"/>
      <c r="G16" s="101"/>
      <c r="H16" s="5"/>
      <c r="I16" s="1"/>
    </row>
    <row r="17" spans="1:9" x14ac:dyDescent="0.25">
      <c r="A17" s="1"/>
      <c r="B17" s="1"/>
      <c r="C17" s="6" t="s">
        <v>101</v>
      </c>
      <c r="D17" s="99" t="s">
        <v>198</v>
      </c>
      <c r="E17" s="100"/>
      <c r="F17" s="100"/>
      <c r="G17" s="101"/>
      <c r="H17" s="5"/>
      <c r="I17" s="1"/>
    </row>
    <row r="18" spans="1:9" x14ac:dyDescent="0.25">
      <c r="A18" s="1"/>
      <c r="B18" s="1"/>
      <c r="C18" s="6" t="s">
        <v>88</v>
      </c>
      <c r="D18" s="96" t="s">
        <v>79</v>
      </c>
      <c r="E18" s="97"/>
      <c r="F18" s="97"/>
      <c r="G18" s="98"/>
      <c r="H18" s="5"/>
      <c r="I18" s="1"/>
    </row>
    <row r="19" spans="1:9" x14ac:dyDescent="0.25">
      <c r="A19" s="1"/>
      <c r="B19" s="1"/>
      <c r="C19" s="6" t="s">
        <v>89</v>
      </c>
      <c r="D19" s="96" t="s">
        <v>80</v>
      </c>
      <c r="E19" s="97"/>
      <c r="F19" s="97"/>
      <c r="G19" s="98"/>
      <c r="H19" s="5"/>
      <c r="I19" s="1"/>
    </row>
    <row r="20" spans="1:9" x14ac:dyDescent="0.25">
      <c r="A20" s="1"/>
      <c r="B20" s="1"/>
      <c r="C20" s="6" t="s">
        <v>7</v>
      </c>
      <c r="D20" s="96" t="s">
        <v>10</v>
      </c>
      <c r="E20" s="97"/>
      <c r="F20" s="97"/>
      <c r="G20" s="98"/>
      <c r="H20" s="5"/>
      <c r="I20" s="1"/>
    </row>
    <row r="21" spans="1:9" x14ac:dyDescent="0.25">
      <c r="A21" s="1"/>
      <c r="B21" s="1"/>
      <c r="C21" s="6" t="s">
        <v>90</v>
      </c>
      <c r="D21" s="103" t="s">
        <v>12</v>
      </c>
      <c r="E21" s="104"/>
      <c r="F21" s="104"/>
      <c r="G21" s="105"/>
      <c r="H21" s="5"/>
      <c r="I21" s="1"/>
    </row>
    <row r="22" spans="1:9" x14ac:dyDescent="0.25">
      <c r="A22" s="1"/>
      <c r="B22" s="1"/>
      <c r="C22" s="6" t="s">
        <v>71</v>
      </c>
      <c r="D22" s="90" t="s">
        <v>199</v>
      </c>
      <c r="E22" s="91"/>
      <c r="F22" s="91"/>
      <c r="G22" s="92"/>
      <c r="H22" s="5"/>
      <c r="I22" s="1"/>
    </row>
    <row r="23" spans="1:9" x14ac:dyDescent="0.25">
      <c r="A23" s="1"/>
      <c r="B23" s="1"/>
      <c r="C23" s="6" t="s">
        <v>8</v>
      </c>
      <c r="D23" s="90" t="s">
        <v>181</v>
      </c>
      <c r="E23" s="91"/>
      <c r="F23" s="91"/>
      <c r="G23" s="92"/>
      <c r="H23" s="5"/>
      <c r="I23" s="1"/>
    </row>
    <row r="24" spans="1:9" x14ac:dyDescent="0.25">
      <c r="A24" s="1"/>
      <c r="B24" s="1"/>
      <c r="C24" s="6" t="s">
        <v>9</v>
      </c>
      <c r="D24" s="90" t="s">
        <v>200</v>
      </c>
      <c r="E24" s="91"/>
      <c r="F24" s="91"/>
      <c r="G24" s="92"/>
      <c r="H24" s="5"/>
      <c r="I24" s="1"/>
    </row>
    <row r="25" spans="1:9" x14ac:dyDescent="0.25">
      <c r="A25" s="1"/>
      <c r="B25" s="1"/>
      <c r="C25" s="6" t="s">
        <v>166</v>
      </c>
      <c r="D25" s="90" t="s">
        <v>160</v>
      </c>
      <c r="E25" s="91"/>
      <c r="F25" s="91"/>
      <c r="G25" s="92"/>
      <c r="H25" s="1"/>
      <c r="I25" s="1"/>
    </row>
    <row r="26" spans="1:9" x14ac:dyDescent="0.25">
      <c r="A26" s="1"/>
      <c r="B26" s="1"/>
      <c r="C26" s="6" t="s">
        <v>167</v>
      </c>
      <c r="D26" s="90" t="s">
        <v>72</v>
      </c>
      <c r="E26" s="91"/>
      <c r="F26" s="91"/>
      <c r="G26" s="92"/>
      <c r="H26" s="1"/>
      <c r="I26" s="1"/>
    </row>
    <row r="27" spans="1:9" x14ac:dyDescent="0.25">
      <c r="A27" s="1"/>
      <c r="B27" s="1"/>
      <c r="C27" s="6" t="s">
        <v>168</v>
      </c>
      <c r="D27" s="90" t="s">
        <v>73</v>
      </c>
      <c r="E27" s="91"/>
      <c r="F27" s="91"/>
      <c r="G27" s="92"/>
      <c r="H27" s="1"/>
      <c r="I27" s="1"/>
    </row>
    <row r="28" spans="1:9" x14ac:dyDescent="0.25">
      <c r="A28" s="1"/>
      <c r="B28" s="1"/>
      <c r="C28" s="6" t="s">
        <v>15</v>
      </c>
      <c r="D28" s="90" t="s">
        <v>74</v>
      </c>
      <c r="E28" s="91"/>
      <c r="F28" s="91"/>
      <c r="G28" s="92"/>
      <c r="H28" s="1"/>
      <c r="I28" s="1"/>
    </row>
    <row r="29" spans="1:9" x14ac:dyDescent="0.25">
      <c r="A29" s="1"/>
      <c r="B29" s="1"/>
      <c r="C29" s="6" t="s">
        <v>34</v>
      </c>
      <c r="D29" s="90" t="s">
        <v>114</v>
      </c>
      <c r="E29" s="91"/>
      <c r="F29" s="91"/>
      <c r="G29" s="92"/>
      <c r="H29" s="1"/>
      <c r="I29" s="1"/>
    </row>
    <row r="30" spans="1:9" x14ac:dyDescent="0.25">
      <c r="A30" s="1"/>
      <c r="B30" s="1"/>
      <c r="C30" s="6" t="s">
        <v>35</v>
      </c>
      <c r="D30" s="90" t="s">
        <v>33</v>
      </c>
      <c r="E30" s="91"/>
      <c r="F30" s="91"/>
      <c r="G30" s="92"/>
      <c r="H30" s="1"/>
      <c r="I30" s="1"/>
    </row>
    <row r="31" spans="1:9" x14ac:dyDescent="0.25">
      <c r="A31" s="1"/>
      <c r="B31" s="1"/>
      <c r="C31" s="6" t="s">
        <v>169</v>
      </c>
      <c r="D31" s="93" t="s">
        <v>87</v>
      </c>
      <c r="E31" s="94"/>
      <c r="F31" s="94"/>
      <c r="G31" s="95"/>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aV5ys/mumjR70GunZ51/rLeB90ySQHNiFwbHhK+TQTLuoCzXYrjUdQIQbkbV2AGPL4agBTKrxM6m4Nz60Vuc8A==" saltValue="409zDyhzbBvJMkmPGYGSCA==" spinCount="100000" sheet="1" objects="1" scenarios="1"/>
  <mergeCells count="22">
    <mergeCell ref="D14:G14"/>
    <mergeCell ref="D6:G7"/>
    <mergeCell ref="D21:G21"/>
    <mergeCell ref="D22:G22"/>
    <mergeCell ref="D11:G11"/>
    <mergeCell ref="D8:G8"/>
    <mergeCell ref="D15:G15"/>
    <mergeCell ref="D16:G16"/>
    <mergeCell ref="D19:G19"/>
    <mergeCell ref="D13:G13"/>
    <mergeCell ref="D17:G17"/>
    <mergeCell ref="D20:G20"/>
    <mergeCell ref="D30:G30"/>
    <mergeCell ref="D31:G31"/>
    <mergeCell ref="D18:G18"/>
    <mergeCell ref="D25:G25"/>
    <mergeCell ref="D26:G26"/>
    <mergeCell ref="D29:G29"/>
    <mergeCell ref="D27:G27"/>
    <mergeCell ref="D28:G28"/>
    <mergeCell ref="D24:G24"/>
    <mergeCell ref="D23:G23"/>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view="pageLayout" zoomScale="70" zoomScaleNormal="100" zoomScalePageLayoutView="7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201</v>
      </c>
      <c r="C3" s="111"/>
      <c r="D3" s="111"/>
      <c r="E3" s="1"/>
    </row>
    <row r="4" spans="1:5" ht="15" customHeight="1" x14ac:dyDescent="0.25">
      <c r="A4" s="1"/>
      <c r="B4" s="111"/>
      <c r="C4" s="111"/>
      <c r="D4" s="11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72401150.232249111</v>
      </c>
      <c r="D9" s="8" t="s">
        <v>3</v>
      </c>
      <c r="E9" s="1"/>
    </row>
    <row r="10" spans="1:5" ht="17.25" customHeight="1" x14ac:dyDescent="0.25">
      <c r="A10" s="1"/>
      <c r="B10" s="89" t="s">
        <v>36</v>
      </c>
      <c r="C10" s="7">
        <f>'Fane 11.1. Varige tillæg'!C20</f>
        <v>171966.08799999999</v>
      </c>
      <c r="D10" s="8" t="s">
        <v>3</v>
      </c>
      <c r="E10" s="1"/>
    </row>
    <row r="11" spans="1:5" ht="17.25" customHeight="1" x14ac:dyDescent="0.25">
      <c r="A11" s="1"/>
      <c r="B11" s="89" t="s">
        <v>37</v>
      </c>
      <c r="C11" s="9">
        <f>'Fane 11.1. Varige tillæg'!E20</f>
        <v>584426.38800000004</v>
      </c>
      <c r="D11" s="8" t="s">
        <v>3</v>
      </c>
      <c r="E11" s="1"/>
    </row>
    <row r="12" spans="1:5" ht="17.25" customHeight="1" x14ac:dyDescent="0.25">
      <c r="A12" s="1"/>
      <c r="B12" s="89" t="s">
        <v>26</v>
      </c>
      <c r="C12" s="9">
        <f>-'Fane 14. Bortfald'!C13</f>
        <v>0</v>
      </c>
      <c r="D12" s="8" t="s">
        <v>3</v>
      </c>
      <c r="E12" s="1"/>
    </row>
    <row r="13" spans="1:5" ht="17.25" customHeight="1" x14ac:dyDescent="0.25">
      <c r="A13" s="1"/>
      <c r="B13" s="89" t="s">
        <v>25</v>
      </c>
      <c r="C13" s="9">
        <f>-'Fane 14. Bortfald'!E13</f>
        <v>0</v>
      </c>
      <c r="D13" s="8" t="s">
        <v>3</v>
      </c>
      <c r="E13" s="1"/>
    </row>
    <row r="14" spans="1:5" ht="17.25" customHeight="1" x14ac:dyDescent="0.25">
      <c r="A14" s="1"/>
      <c r="B14" s="89" t="s">
        <v>105</v>
      </c>
      <c r="C14" s="9">
        <f>'Fane 13. Tilknyttet virksomhed'!C14</f>
        <v>0</v>
      </c>
      <c r="D14" s="8" t="s">
        <v>3</v>
      </c>
      <c r="E14" s="1"/>
    </row>
    <row r="15" spans="1:5" ht="17.25" customHeight="1" x14ac:dyDescent="0.25">
      <c r="A15" s="1"/>
      <c r="B15" s="89" t="s">
        <v>106</v>
      </c>
      <c r="C15" s="9">
        <f>'Fane 13. Tilknyttet virksomhed'!E14</f>
        <v>0</v>
      </c>
      <c r="D15" s="8" t="s">
        <v>3</v>
      </c>
      <c r="E15" s="1"/>
    </row>
    <row r="16" spans="1:5" ht="17.25" customHeight="1" x14ac:dyDescent="0.25">
      <c r="A16" s="1"/>
      <c r="B16" s="89" t="s">
        <v>19</v>
      </c>
      <c r="C16" s="41">
        <f>SUM(C9)*'Fane 15. Nøgletal'!C16+SUM(C10:C15)*'Fane 15. Nøgletal'!C16</f>
        <v>5911129.4508265276</v>
      </c>
      <c r="D16" s="8" t="s">
        <v>3</v>
      </c>
      <c r="E16" s="1"/>
    </row>
    <row r="17" spans="1:5" ht="17.25" customHeight="1" x14ac:dyDescent="0.25">
      <c r="A17" s="1"/>
      <c r="B17" s="89" t="s">
        <v>10</v>
      </c>
      <c r="C17" s="41">
        <f>-SUM(C9,C10:C16)*'Fane 5. Individuelt eff. krav'!G9</f>
        <v>0</v>
      </c>
      <c r="D17" s="8" t="s">
        <v>3</v>
      </c>
      <c r="E17" s="1"/>
    </row>
    <row r="18" spans="1:5" ht="17.25" customHeight="1" x14ac:dyDescent="0.25">
      <c r="A18" s="1"/>
      <c r="B18" s="89" t="s">
        <v>23</v>
      </c>
      <c r="C18" s="41">
        <f>-'Fane 4.1. Gen. krav - drift'!G54</f>
        <v>-314964.20626930904</v>
      </c>
      <c r="D18" s="8" t="s">
        <v>3</v>
      </c>
      <c r="E18" s="1"/>
    </row>
    <row r="19" spans="1:5" ht="17.25" customHeight="1" x14ac:dyDescent="0.25">
      <c r="A19" s="1"/>
      <c r="B19" s="89" t="s">
        <v>24</v>
      </c>
      <c r="C19" s="41">
        <f>-'Fane 4.2. Gen. krav - anlæg'!G55</f>
        <v>0</v>
      </c>
      <c r="D19" s="8" t="s">
        <v>3</v>
      </c>
      <c r="E19" s="47"/>
    </row>
    <row r="20" spans="1:5" ht="17.25" customHeight="1" x14ac:dyDescent="0.25">
      <c r="A20" s="1"/>
      <c r="B20" s="83" t="s">
        <v>21</v>
      </c>
      <c r="C20" s="10">
        <f>SUM(C9:C19)</f>
        <v>78753707.952806324</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1047004.21318976</v>
      </c>
      <c r="D22" s="11" t="s">
        <v>3</v>
      </c>
      <c r="E22" s="1"/>
    </row>
    <row r="23" spans="1:5" ht="15" customHeight="1" x14ac:dyDescent="0.25">
      <c r="A23" s="1"/>
      <c r="B23" s="33" t="s">
        <v>74</v>
      </c>
      <c r="C23" s="28"/>
      <c r="D23" s="19"/>
      <c r="E23" s="1"/>
    </row>
    <row r="24" spans="1:5" ht="15" customHeight="1" x14ac:dyDescent="0.25">
      <c r="A24" s="1"/>
      <c r="B24" s="83"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89" t="s">
        <v>158</v>
      </c>
      <c r="C26" s="72">
        <f>'Fane 11.2. Engangstillæg'!C14</f>
        <v>0</v>
      </c>
      <c r="D26" s="8" t="s">
        <v>3</v>
      </c>
      <c r="E26" s="1"/>
    </row>
    <row r="27" spans="1:5" ht="15" customHeight="1" x14ac:dyDescent="0.25">
      <c r="A27" s="1"/>
      <c r="B27" s="89" t="s">
        <v>70</v>
      </c>
      <c r="C27" s="72">
        <f>'Fane 11.2. Engangstillæg'!E14</f>
        <v>0</v>
      </c>
      <c r="D27" s="8" t="s">
        <v>3</v>
      </c>
      <c r="E27" s="1"/>
    </row>
    <row r="28" spans="1:5" ht="15" customHeight="1" x14ac:dyDescent="0.25">
      <c r="A28" s="1"/>
      <c r="B28" s="89" t="s">
        <v>161</v>
      </c>
      <c r="C28" s="72">
        <f>-C26*('Fane 15. Nøgletal'!C33+'Fane 5. Individuelt eff. krav'!G9)</f>
        <v>0</v>
      </c>
      <c r="D28" s="8" t="s">
        <v>3</v>
      </c>
      <c r="E28" s="1"/>
    </row>
    <row r="29" spans="1:5" ht="15" customHeight="1" x14ac:dyDescent="0.25">
      <c r="A29" s="1"/>
      <c r="B29" s="89" t="s">
        <v>162</v>
      </c>
      <c r="C29" s="72">
        <f>-C27*('Fane 15. Nøgletal'!C28+'Fane 5. Individuelt eff. krav'!G9)</f>
        <v>0</v>
      </c>
      <c r="D29" s="8" t="s">
        <v>3</v>
      </c>
      <c r="E29" s="1"/>
    </row>
    <row r="30" spans="1:5" ht="15" customHeight="1" x14ac:dyDescent="0.25">
      <c r="A30" s="1"/>
      <c r="B30" s="70" t="s">
        <v>75</v>
      </c>
      <c r="C30" s="10">
        <f>SUM(C26:C29)</f>
        <v>0</v>
      </c>
      <c r="D30" s="11" t="s">
        <v>3</v>
      </c>
      <c r="E30" s="1"/>
    </row>
    <row r="31" spans="1:5" x14ac:dyDescent="0.25">
      <c r="A31" s="1"/>
      <c r="B31" s="33" t="s">
        <v>116</v>
      </c>
      <c r="C31" s="28"/>
      <c r="D31" s="19"/>
      <c r="E31" s="1"/>
    </row>
    <row r="32" spans="1:5" x14ac:dyDescent="0.25">
      <c r="A32" s="1"/>
      <c r="B32" s="31" t="s">
        <v>138</v>
      </c>
      <c r="C32" s="10">
        <f>'Fane 7. Kontrol af ØR2022'!E31</f>
        <v>0</v>
      </c>
      <c r="D32" s="11" t="s">
        <v>3</v>
      </c>
      <c r="E32" s="1"/>
    </row>
    <row r="33" spans="1:5" ht="15" customHeight="1" x14ac:dyDescent="0.25">
      <c r="A33" s="1"/>
      <c r="B33" s="33" t="s">
        <v>200</v>
      </c>
      <c r="C33" s="28"/>
      <c r="D33" s="19"/>
      <c r="E33" s="1"/>
    </row>
    <row r="34" spans="1:5" x14ac:dyDescent="0.25">
      <c r="A34" s="1"/>
      <c r="B34" s="31" t="s">
        <v>200</v>
      </c>
      <c r="C34" s="10">
        <f>'Fane 9. Korrektion af ØR2022'!E17</f>
        <v>0</v>
      </c>
      <c r="D34" s="11" t="s">
        <v>3</v>
      </c>
      <c r="E34" s="1"/>
    </row>
    <row r="35" spans="1:5" x14ac:dyDescent="0.25">
      <c r="A35" s="1"/>
      <c r="B35" s="30" t="s">
        <v>135</v>
      </c>
      <c r="C35" s="28"/>
      <c r="D35" s="19"/>
      <c r="E35" s="1"/>
    </row>
    <row r="36" spans="1:5" x14ac:dyDescent="0.25">
      <c r="A36" s="1"/>
      <c r="B36" s="70" t="s">
        <v>136</v>
      </c>
      <c r="C36" s="10">
        <f>'Fane 8. Skattesagen'!G13</f>
        <v>-3448196.6666666665</v>
      </c>
      <c r="D36" s="11" t="s">
        <v>3</v>
      </c>
      <c r="E36" s="1"/>
    </row>
    <row r="37" spans="1:5" x14ac:dyDescent="0.25">
      <c r="A37" s="1"/>
      <c r="B37" s="33" t="s">
        <v>108</v>
      </c>
      <c r="C37" s="49">
        <f>SUM(C34,C32,C24,C30,C22,C20,C36)</f>
        <v>76352515.499329418</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4i6yJMhBwnqgGXUTNUCcAjPMPL8FFC3fukuSX16FG1i+IoXKq5APJprbFxKiFNBaua6xXKcvB/oAnJlGgzKFrg==" saltValue="tSHuB4bjkBT8Z9ZJMSCd6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202</v>
      </c>
      <c r="C3" s="111"/>
      <c r="D3" s="111"/>
      <c r="E3" s="1"/>
    </row>
    <row r="4" spans="1:5" ht="15" customHeight="1" x14ac:dyDescent="0.25">
      <c r="A4" s="1"/>
      <c r="B4" s="111"/>
      <c r="C4" s="111"/>
      <c r="D4" s="111"/>
      <c r="E4" s="1"/>
    </row>
    <row r="5" spans="1:5" x14ac:dyDescent="0.25">
      <c r="A5" s="1"/>
      <c r="B5" s="112"/>
      <c r="C5" s="112"/>
      <c r="D5" s="112"/>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78753707.952806324</v>
      </c>
      <c r="D9" s="8" t="s">
        <v>3</v>
      </c>
      <c r="E9" s="1"/>
    </row>
    <row r="10" spans="1:5" ht="15" customHeight="1" x14ac:dyDescent="0.25">
      <c r="A10" s="1"/>
      <c r="B10" s="26" t="s">
        <v>19</v>
      </c>
      <c r="C10" s="7">
        <f>SUM(C9:C9)*'Fane 15. Nøgletal'!C16</f>
        <v>6363299.6025867509</v>
      </c>
      <c r="D10" s="8" t="s">
        <v>3</v>
      </c>
      <c r="E10" s="1"/>
    </row>
    <row r="11" spans="1:5" ht="15" customHeight="1" x14ac:dyDescent="0.25">
      <c r="A11" s="1"/>
      <c r="B11" s="26" t="s">
        <v>10</v>
      </c>
      <c r="C11" s="9">
        <f>-SUM(C9:C10)*'Fane 5. Individuelt eff. krav'!G9</f>
        <v>0</v>
      </c>
      <c r="D11" s="8" t="s">
        <v>3</v>
      </c>
      <c r="E11" s="1"/>
    </row>
    <row r="12" spans="1:5" ht="15" customHeight="1" x14ac:dyDescent="0.25">
      <c r="A12" s="1"/>
      <c r="B12" s="26" t="s">
        <v>23</v>
      </c>
      <c r="C12" s="9">
        <f>-'Fane 4.1. Gen. krav - drift'!G59</f>
        <v>-333605.04785315186</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84783402.507539913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1131602.1536154926</v>
      </c>
      <c r="D16" s="11" t="s">
        <v>3</v>
      </c>
      <c r="E16" s="1"/>
    </row>
    <row r="17" spans="1:5" ht="15" customHeight="1" x14ac:dyDescent="0.25">
      <c r="A17" s="1"/>
      <c r="B17" s="33" t="s">
        <v>74</v>
      </c>
      <c r="C17" s="28"/>
      <c r="D17" s="19"/>
      <c r="E17" s="1"/>
    </row>
    <row r="18" spans="1:5" ht="15" customHeight="1" x14ac:dyDescent="0.25">
      <c r="A18" s="1"/>
      <c r="B18" s="83"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0</v>
      </c>
      <c r="D20" s="11" t="s">
        <v>3</v>
      </c>
      <c r="E20" s="1"/>
    </row>
    <row r="21" spans="1:5" x14ac:dyDescent="0.25">
      <c r="A21" s="1"/>
      <c r="B21" s="30" t="s">
        <v>135</v>
      </c>
      <c r="C21" s="28"/>
      <c r="D21" s="19"/>
      <c r="E21" s="1"/>
    </row>
    <row r="22" spans="1:5" x14ac:dyDescent="0.25">
      <c r="A22" s="1"/>
      <c r="B22" s="70" t="s">
        <v>136</v>
      </c>
      <c r="C22" s="10">
        <f>'Fane 8. Skattesagen'!G14</f>
        <v>-3448196.6666666665</v>
      </c>
      <c r="D22" s="11" t="s">
        <v>3</v>
      </c>
      <c r="E22" s="1"/>
    </row>
    <row r="23" spans="1:5" x14ac:dyDescent="0.25">
      <c r="A23" s="1"/>
      <c r="B23" s="33" t="s">
        <v>122</v>
      </c>
      <c r="C23" s="12">
        <f>SUM(C14,C16,C18,C20,C22)</f>
        <v>82466807.994488731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f6oq6bdT1o19vE6PoVkd/MIa6PQW+67A7btOc11OYlx7L4FyKl6jBTrKDIZwWbHYNSX2UBJfM3LvnB8PFk3bw==" saltValue="yCPwEDvn5T14GUFsjDO6w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55" zoomScaleNormal="100" zoomScalePageLayoutView="55"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203</v>
      </c>
      <c r="C3" s="111"/>
      <c r="D3" s="111"/>
      <c r="E3" s="1"/>
    </row>
    <row r="4" spans="1:5" ht="15" customHeight="1" x14ac:dyDescent="0.25">
      <c r="A4" s="1"/>
      <c r="B4" s="111"/>
      <c r="C4" s="111"/>
      <c r="D4" s="111"/>
      <c r="E4" s="1"/>
    </row>
    <row r="5" spans="1:5" x14ac:dyDescent="0.25">
      <c r="A5" s="1"/>
      <c r="B5" s="112" t="s">
        <v>253</v>
      </c>
      <c r="C5" s="112"/>
      <c r="D5" s="112"/>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84783402.507539913</v>
      </c>
      <c r="D9" s="8" t="s">
        <v>3</v>
      </c>
      <c r="E9" s="1"/>
    </row>
    <row r="10" spans="1:5" ht="15" customHeight="1" x14ac:dyDescent="0.25">
      <c r="A10" s="1"/>
      <c r="B10" s="26" t="s">
        <v>19</v>
      </c>
      <c r="C10" s="7">
        <f>SUM(C9:C9)*'Fane 15. Nøgletal'!C16</f>
        <v>6850498.9226092249</v>
      </c>
      <c r="D10" s="8" t="s">
        <v>3</v>
      </c>
      <c r="E10" s="1"/>
    </row>
    <row r="11" spans="1:5" ht="15" customHeight="1" x14ac:dyDescent="0.25">
      <c r="A11" s="1"/>
      <c r="B11" s="26" t="s">
        <v>10</v>
      </c>
      <c r="C11" s="9">
        <f>-SUM(C9:C10)*'Fane 5. Individuelt eff. krav'!G9</f>
        <v>0</v>
      </c>
      <c r="D11" s="8" t="s">
        <v>3</v>
      </c>
      <c r="E11" s="1"/>
    </row>
    <row r="12" spans="1:5" ht="15" customHeight="1" x14ac:dyDescent="0.25">
      <c r="A12" s="1"/>
      <c r="B12" s="26" t="s">
        <v>23</v>
      </c>
      <c r="C12" s="9">
        <f>-'Fane 4.1. Gen. krav - drift'!G64</f>
        <v>-353349.12900529284</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91280552.30114384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1223035.6076276244</v>
      </c>
      <c r="D16" s="11" t="s">
        <v>3</v>
      </c>
      <c r="E16" s="1"/>
    </row>
    <row r="17" spans="1:5" ht="15" customHeight="1" x14ac:dyDescent="0.25">
      <c r="A17" s="1"/>
      <c r="B17" s="33" t="s">
        <v>74</v>
      </c>
      <c r="C17" s="28"/>
      <c r="D17" s="19"/>
      <c r="E17" s="1"/>
    </row>
    <row r="18" spans="1:5" ht="15" customHeight="1" x14ac:dyDescent="0.25">
      <c r="A18" s="1"/>
      <c r="B18" s="83"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70" t="s">
        <v>136</v>
      </c>
      <c r="C22" s="10">
        <f>'Fane 8. Skattesagen'!G15</f>
        <v>-3448196.6666666665</v>
      </c>
      <c r="D22" s="11" t="s">
        <v>3</v>
      </c>
      <c r="E22" s="1"/>
    </row>
    <row r="23" spans="1:5" x14ac:dyDescent="0.25">
      <c r="A23" s="1"/>
      <c r="B23" s="33" t="s">
        <v>140</v>
      </c>
      <c r="C23" s="12">
        <f>SUM(C14,C16,C18,C20,C22)</f>
        <v>89055391.242104799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wiXklHlGE5JcWUw/dEBRe+lHcseZRWQar57pMcQzyLI6TI2IWpYyHmESyw+PGXWZjjG1XKzEAQqDczrmQtHZw==" saltValue="zYJj90sD0ntKJzT2h2b0L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1" t="s">
        <v>204</v>
      </c>
      <c r="C3" s="111"/>
      <c r="D3" s="111"/>
      <c r="E3" s="1"/>
      <c r="F3" s="1"/>
    </row>
    <row r="4" spans="1:6" ht="15" customHeight="1" x14ac:dyDescent="0.25">
      <c r="A4" s="1"/>
      <c r="B4" s="111"/>
      <c r="C4" s="111"/>
      <c r="D4" s="111"/>
      <c r="E4" s="1"/>
      <c r="F4" s="1"/>
    </row>
    <row r="5" spans="1:6" x14ac:dyDescent="0.25">
      <c r="A5" s="1"/>
      <c r="B5" s="112" t="s">
        <v>253</v>
      </c>
      <c r="C5" s="112"/>
      <c r="D5" s="112"/>
      <c r="E5" s="1"/>
      <c r="F5" s="1"/>
    </row>
    <row r="6" spans="1:6" x14ac:dyDescent="0.25">
      <c r="A6" s="1"/>
      <c r="B6" s="74"/>
      <c r="C6" s="74"/>
      <c r="D6" s="74"/>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91280552.30114384</v>
      </c>
      <c r="D9" s="8" t="s">
        <v>3</v>
      </c>
      <c r="E9" s="1"/>
      <c r="F9" s="1"/>
    </row>
    <row r="10" spans="1:6" ht="15" customHeight="1" x14ac:dyDescent="0.25">
      <c r="A10" s="1"/>
      <c r="B10" s="26" t="s">
        <v>19</v>
      </c>
      <c r="C10" s="7">
        <f>SUM(C9:C9)*'Fane 15. Nøgletal'!C16</f>
        <v>7375468.6259324215</v>
      </c>
      <c r="D10" s="8" t="s">
        <v>3</v>
      </c>
      <c r="E10" s="1"/>
      <c r="F10" s="1"/>
    </row>
    <row r="11" spans="1:6" ht="15" customHeight="1" x14ac:dyDescent="0.25">
      <c r="A11" s="1"/>
      <c r="B11" s="26" t="s">
        <v>10</v>
      </c>
      <c r="C11" s="9">
        <f>-SUM(C9:C10)*'Fane 5. Individuelt eff. krav'!G9</f>
        <v>0</v>
      </c>
      <c r="D11" s="8" t="s">
        <v>3</v>
      </c>
      <c r="E11" s="1"/>
      <c r="F11" s="1"/>
    </row>
    <row r="12" spans="1:6" ht="15" customHeight="1" x14ac:dyDescent="0.25">
      <c r="A12" s="1"/>
      <c r="B12" s="26" t="s">
        <v>23</v>
      </c>
      <c r="C12" s="9">
        <f>-'Fane 4.1. Gen. krav - drift'!G69</f>
        <v>-374261.74385634199</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98281759.183219925</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1321856.8847239364</v>
      </c>
      <c r="D16" s="11" t="s">
        <v>3</v>
      </c>
      <c r="E16" s="1"/>
      <c r="F16" s="1"/>
    </row>
    <row r="17" spans="1:6" ht="15" customHeight="1" x14ac:dyDescent="0.25">
      <c r="A17" s="1"/>
      <c r="B17" s="33" t="s">
        <v>74</v>
      </c>
      <c r="C17" s="28"/>
      <c r="D17" s="19"/>
      <c r="E17" s="1"/>
      <c r="F17" s="1"/>
    </row>
    <row r="18" spans="1:6" ht="15" customHeight="1" x14ac:dyDescent="0.25">
      <c r="A18" s="1"/>
      <c r="B18" s="83"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70" t="s">
        <v>136</v>
      </c>
      <c r="C22" s="10">
        <f>'Fane 8. Skattesagen'!G16</f>
        <v>0</v>
      </c>
      <c r="D22" s="11" t="s">
        <v>3</v>
      </c>
      <c r="E22" s="1"/>
      <c r="F22" s="1"/>
    </row>
    <row r="23" spans="1:6" x14ac:dyDescent="0.25">
      <c r="A23" s="1"/>
      <c r="B23" s="33" t="s">
        <v>209</v>
      </c>
      <c r="C23" s="12">
        <f>SUM(C14,C16,C18,C20,C22)</f>
        <v>99603616.067943856</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EKsGkz0J1GXPdHUgLAepM0q7YS3dL0x5T9DZy8v61xT3Hg4MN7WjwpEdSGw/16wksWsAibSe1dXsFHqnKDr3wA==" saltValue="yYv1/SpcRsRzQgdWKfXM5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70" zoomScaleNormal="100" zoomScalePageLayoutView="7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4" t="s">
        <v>205</v>
      </c>
      <c r="C3" s="114"/>
      <c r="D3" s="114"/>
      <c r="E3" s="1"/>
    </row>
    <row r="4" spans="1:5" x14ac:dyDescent="0.25">
      <c r="A4" s="1"/>
      <c r="B4" s="114"/>
      <c r="C4" s="114"/>
      <c r="D4" s="11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72669657.685585365</v>
      </c>
      <c r="D9" s="8" t="s">
        <v>3</v>
      </c>
      <c r="E9" s="1"/>
    </row>
    <row r="10" spans="1:5" x14ac:dyDescent="0.25">
      <c r="A10" s="1"/>
      <c r="B10" s="89" t="s">
        <v>36</v>
      </c>
      <c r="C10" s="7">
        <v>148892.35440000001</v>
      </c>
      <c r="D10" s="8" t="s">
        <v>3</v>
      </c>
      <c r="E10" s="1"/>
    </row>
    <row r="11" spans="1:5" x14ac:dyDescent="0.25">
      <c r="A11" s="1"/>
      <c r="B11" s="89" t="s">
        <v>37</v>
      </c>
      <c r="C11" s="9">
        <v>603151.04520000005</v>
      </c>
      <c r="D11" s="8" t="s">
        <v>3</v>
      </c>
      <c r="E11" s="1"/>
    </row>
    <row r="12" spans="1:5" x14ac:dyDescent="0.25">
      <c r="A12" s="1"/>
      <c r="B12" s="89" t="s">
        <v>26</v>
      </c>
      <c r="C12" s="9">
        <v>0</v>
      </c>
      <c r="D12" s="8" t="s">
        <v>3</v>
      </c>
      <c r="E12" s="1"/>
    </row>
    <row r="13" spans="1:5" x14ac:dyDescent="0.25">
      <c r="A13" s="1"/>
      <c r="B13" s="89" t="s">
        <v>25</v>
      </c>
      <c r="C13" s="9">
        <v>0</v>
      </c>
      <c r="D13" s="8" t="s">
        <v>3</v>
      </c>
      <c r="E13" s="1"/>
    </row>
    <row r="14" spans="1:5" x14ac:dyDescent="0.25">
      <c r="A14" s="1"/>
      <c r="B14" s="89" t="s">
        <v>105</v>
      </c>
      <c r="C14" s="9">
        <v>0</v>
      </c>
      <c r="D14" s="8" t="s">
        <v>3</v>
      </c>
      <c r="E14" s="1"/>
    </row>
    <row r="15" spans="1:5" x14ac:dyDescent="0.25">
      <c r="A15" s="1"/>
      <c r="B15" s="89" t="s">
        <v>106</v>
      </c>
      <c r="C15" s="9">
        <v>0</v>
      </c>
      <c r="D15" s="8" t="s">
        <v>3</v>
      </c>
      <c r="E15" s="1"/>
    </row>
    <row r="16" spans="1:5" x14ac:dyDescent="0.25">
      <c r="A16" s="1"/>
      <c r="B16" s="89" t="s">
        <v>19</v>
      </c>
      <c r="C16" s="41">
        <v>266582.61538819171</v>
      </c>
      <c r="D16" s="8" t="s">
        <v>3</v>
      </c>
      <c r="E16" s="1"/>
    </row>
    <row r="17" spans="1:5" x14ac:dyDescent="0.25">
      <c r="A17" s="1"/>
      <c r="B17" s="89" t="s">
        <v>10</v>
      </c>
      <c r="C17" s="41">
        <v>-119697.21574089298</v>
      </c>
      <c r="D17" s="8" t="s">
        <v>3</v>
      </c>
      <c r="E17" s="1"/>
    </row>
    <row r="18" spans="1:5" x14ac:dyDescent="0.25">
      <c r="A18" s="1"/>
      <c r="B18" s="89" t="s">
        <v>23</v>
      </c>
      <c r="C18" s="41">
        <v>-293855.44656178821</v>
      </c>
      <c r="D18" s="8" t="s">
        <v>3</v>
      </c>
      <c r="E18" s="1"/>
    </row>
    <row r="19" spans="1:5" x14ac:dyDescent="0.25">
      <c r="A19" s="1"/>
      <c r="B19" s="89" t="s">
        <v>24</v>
      </c>
      <c r="C19" s="41">
        <v>-873580.80602176406</v>
      </c>
      <c r="D19" s="8" t="s">
        <v>3</v>
      </c>
      <c r="E19" s="47"/>
    </row>
    <row r="20" spans="1:5" x14ac:dyDescent="0.25">
      <c r="A20" s="1"/>
      <c r="B20" s="83" t="s">
        <v>21</v>
      </c>
      <c r="C20" s="10">
        <v>72401150.232249111</v>
      </c>
      <c r="D20" s="11" t="s">
        <v>3</v>
      </c>
      <c r="E20" s="1"/>
    </row>
    <row r="21" spans="1:5" x14ac:dyDescent="0.25">
      <c r="A21" s="1"/>
      <c r="B21" s="33" t="s">
        <v>12</v>
      </c>
      <c r="C21" s="28"/>
      <c r="D21" s="19"/>
      <c r="E21" s="1"/>
    </row>
    <row r="22" spans="1:5" x14ac:dyDescent="0.25">
      <c r="A22" s="1"/>
      <c r="B22" s="31" t="s">
        <v>12</v>
      </c>
      <c r="C22" s="10">
        <v>464181.66842197336</v>
      </c>
      <c r="D22" s="11" t="s">
        <v>3</v>
      </c>
      <c r="E22" s="1"/>
    </row>
    <row r="23" spans="1:5" x14ac:dyDescent="0.25">
      <c r="A23" s="1"/>
      <c r="B23" s="33" t="s">
        <v>74</v>
      </c>
      <c r="C23" s="28"/>
      <c r="D23" s="19"/>
      <c r="E23" s="1"/>
    </row>
    <row r="24" spans="1:5" x14ac:dyDescent="0.25">
      <c r="A24" s="1"/>
      <c r="B24" s="83" t="s">
        <v>74</v>
      </c>
      <c r="C24" s="10">
        <v>0</v>
      </c>
      <c r="D24" s="11" t="s">
        <v>3</v>
      </c>
      <c r="E24" s="1"/>
    </row>
    <row r="25" spans="1:5" x14ac:dyDescent="0.25">
      <c r="A25" s="1"/>
      <c r="B25" s="44" t="s">
        <v>73</v>
      </c>
      <c r="C25" s="42"/>
      <c r="D25" s="43"/>
      <c r="E25" s="1"/>
    </row>
    <row r="26" spans="1:5" x14ac:dyDescent="0.25">
      <c r="A26" s="1"/>
      <c r="B26" s="89" t="s">
        <v>158</v>
      </c>
      <c r="C26" s="69">
        <v>0</v>
      </c>
      <c r="D26" s="8" t="s">
        <v>3</v>
      </c>
      <c r="E26" s="1"/>
    </row>
    <row r="27" spans="1:5" x14ac:dyDescent="0.25">
      <c r="A27" s="1"/>
      <c r="B27" s="89" t="s">
        <v>70</v>
      </c>
      <c r="C27" s="69">
        <v>0</v>
      </c>
      <c r="D27" s="8" t="s">
        <v>3</v>
      </c>
      <c r="E27" s="1"/>
    </row>
    <row r="28" spans="1:5" x14ac:dyDescent="0.25">
      <c r="A28" s="1"/>
      <c r="B28" s="89" t="s">
        <v>161</v>
      </c>
      <c r="C28" s="69">
        <v>0</v>
      </c>
      <c r="D28" s="8" t="s">
        <v>3</v>
      </c>
      <c r="E28" s="1"/>
    </row>
    <row r="29" spans="1:5" x14ac:dyDescent="0.25">
      <c r="A29" s="1"/>
      <c r="B29" s="89" t="s">
        <v>162</v>
      </c>
      <c r="C29" s="69">
        <v>0</v>
      </c>
      <c r="D29" s="8" t="s">
        <v>3</v>
      </c>
      <c r="E29" s="1"/>
    </row>
    <row r="30" spans="1:5" x14ac:dyDescent="0.25">
      <c r="A30" s="1"/>
      <c r="B30" s="70" t="s">
        <v>75</v>
      </c>
      <c r="C30" s="10">
        <v>0</v>
      </c>
      <c r="D30" s="11" t="s">
        <v>3</v>
      </c>
      <c r="E30" s="1"/>
    </row>
    <row r="31" spans="1:5" x14ac:dyDescent="0.25">
      <c r="A31" s="1"/>
      <c r="B31" s="33" t="s">
        <v>116</v>
      </c>
      <c r="C31" s="28"/>
      <c r="D31" s="19"/>
      <c r="E31" s="1"/>
    </row>
    <row r="32" spans="1:5" x14ac:dyDescent="0.25">
      <c r="A32" s="1"/>
      <c r="B32" s="31" t="s">
        <v>138</v>
      </c>
      <c r="C32" s="10">
        <v>0</v>
      </c>
      <c r="D32" s="11" t="s">
        <v>3</v>
      </c>
      <c r="E32" s="1"/>
    </row>
    <row r="33" spans="1:5" x14ac:dyDescent="0.25">
      <c r="A33" s="1"/>
      <c r="B33" s="33" t="s">
        <v>266</v>
      </c>
      <c r="C33" s="28"/>
      <c r="D33" s="19"/>
      <c r="E33" s="1"/>
    </row>
    <row r="34" spans="1:5" x14ac:dyDescent="0.25">
      <c r="A34" s="1"/>
      <c r="B34" s="31" t="s">
        <v>266</v>
      </c>
      <c r="C34" s="10">
        <v>0</v>
      </c>
      <c r="D34" s="11" t="s">
        <v>3</v>
      </c>
      <c r="E34" s="1"/>
    </row>
    <row r="35" spans="1:5" x14ac:dyDescent="0.25">
      <c r="A35" s="1"/>
      <c r="B35" s="30" t="s">
        <v>135</v>
      </c>
      <c r="C35" s="28"/>
      <c r="D35" s="19"/>
      <c r="E35" s="1"/>
    </row>
    <row r="36" spans="1:5" x14ac:dyDescent="0.25">
      <c r="A36" s="1"/>
      <c r="B36" s="70" t="s">
        <v>136</v>
      </c>
      <c r="C36" s="10">
        <v>-3448196.6666666698</v>
      </c>
      <c r="D36" s="11" t="s">
        <v>3</v>
      </c>
      <c r="E36" s="1"/>
    </row>
    <row r="37" spans="1:5" x14ac:dyDescent="0.25">
      <c r="A37" s="1"/>
      <c r="B37" s="33" t="s">
        <v>267</v>
      </c>
      <c r="C37" s="49">
        <v>69417135.234004408</v>
      </c>
      <c r="D37" s="30" t="s">
        <v>3</v>
      </c>
      <c r="E37" s="1"/>
    </row>
    <row r="38" spans="1:5" ht="30" customHeight="1" x14ac:dyDescent="0.25">
      <c r="A38" s="1"/>
      <c r="B38" s="113" t="s">
        <v>268</v>
      </c>
      <c r="C38" s="113"/>
      <c r="D38" s="113"/>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FCTpwHMU9BMoB59I3e5gCCnB8NDn6ZPbNrFcWBHZHK7YxZKnBC3bEnnopfA5GI1DDzGEiqwkvWnVIlL0LD2DtA==" saltValue="AXiU3xoCxulXiCxQmKBRpw==" spinCount="100000" sheet="1" objects="1" scenarios="1"/>
  <mergeCells count="2">
    <mergeCell ref="B38:D38"/>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70" zoomScaleNormal="100" zoomScalePageLayoutView="7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4" t="s">
        <v>91</v>
      </c>
      <c r="C2" s="114"/>
      <c r="D2" s="114"/>
      <c r="E2" s="114"/>
      <c r="F2" s="114"/>
      <c r="G2" s="114"/>
      <c r="H2" s="114"/>
      <c r="I2" s="1"/>
    </row>
    <row r="3" spans="1:9" ht="28.5" customHeight="1" x14ac:dyDescent="0.25">
      <c r="A3" s="1"/>
      <c r="B3" s="114"/>
      <c r="C3" s="114"/>
      <c r="D3" s="114"/>
      <c r="E3" s="114"/>
      <c r="F3" s="114"/>
      <c r="G3" s="114"/>
      <c r="H3" s="114"/>
      <c r="I3" s="1"/>
    </row>
    <row r="4" spans="1:9" x14ac:dyDescent="0.25">
      <c r="A4" s="1"/>
      <c r="B4" s="115" t="s">
        <v>46</v>
      </c>
      <c r="C4" s="116"/>
      <c r="D4" s="116"/>
      <c r="E4" s="116"/>
      <c r="F4" s="116"/>
      <c r="G4" s="116"/>
      <c r="H4" s="117"/>
      <c r="I4" s="1"/>
    </row>
    <row r="5" spans="1:9" x14ac:dyDescent="0.25">
      <c r="A5" s="1"/>
      <c r="B5" s="118" t="s">
        <v>38</v>
      </c>
      <c r="C5" s="119"/>
      <c r="D5" s="119"/>
      <c r="E5" s="119"/>
      <c r="F5" s="120"/>
      <c r="G5" s="63">
        <v>12945809.1102097</v>
      </c>
      <c r="H5" s="14" t="s">
        <v>3</v>
      </c>
      <c r="I5" s="1"/>
    </row>
    <row r="6" spans="1:9" x14ac:dyDescent="0.25">
      <c r="A6" s="1"/>
      <c r="B6" s="127" t="s">
        <v>102</v>
      </c>
      <c r="C6" s="128"/>
      <c r="D6" s="128"/>
      <c r="E6" s="128"/>
      <c r="F6" s="129"/>
      <c r="G6" s="66">
        <v>0</v>
      </c>
      <c r="H6" s="14" t="s">
        <v>3</v>
      </c>
      <c r="I6" s="1"/>
    </row>
    <row r="7" spans="1:9" x14ac:dyDescent="0.25">
      <c r="A7" s="1"/>
      <c r="B7" s="118" t="s">
        <v>39</v>
      </c>
      <c r="C7" s="119"/>
      <c r="D7" s="119"/>
      <c r="E7" s="119"/>
      <c r="F7" s="120"/>
      <c r="G7" s="23">
        <f>SUM(G5:G6)*'Fane 15. Nøgletal'!C33</f>
        <v>258916.18220419399</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5" t="s">
        <v>47</v>
      </c>
      <c r="C10" s="116"/>
      <c r="D10" s="116"/>
      <c r="E10" s="116"/>
      <c r="F10" s="116"/>
      <c r="G10" s="116"/>
      <c r="H10" s="117"/>
      <c r="I10" s="1"/>
    </row>
    <row r="11" spans="1:9" x14ac:dyDescent="0.25">
      <c r="A11" s="1"/>
      <c r="B11" s="118" t="s">
        <v>40</v>
      </c>
      <c r="C11" s="119"/>
      <c r="D11" s="119"/>
      <c r="E11" s="119"/>
      <c r="F11" s="120"/>
      <c r="G11" s="23">
        <f>(G5-G7)*(1+'Fane 15. Nøgletal'!C10)</f>
        <v>12908913.554245602</v>
      </c>
      <c r="H11" s="14" t="s">
        <v>3</v>
      </c>
      <c r="I11" s="1"/>
    </row>
    <row r="12" spans="1:9" ht="15" customHeight="1" x14ac:dyDescent="0.25">
      <c r="A12" s="1"/>
      <c r="B12" s="118" t="s">
        <v>103</v>
      </c>
      <c r="C12" s="119"/>
      <c r="D12" s="119"/>
      <c r="E12" s="119"/>
      <c r="F12" s="120"/>
      <c r="G12" s="66">
        <v>292762.53924775019</v>
      </c>
      <c r="H12" s="14" t="s">
        <v>3</v>
      </c>
      <c r="I12" s="1"/>
    </row>
    <row r="13" spans="1:9" x14ac:dyDescent="0.25">
      <c r="A13" s="1"/>
      <c r="B13" s="127" t="s">
        <v>100</v>
      </c>
      <c r="C13" s="128"/>
      <c r="D13" s="128"/>
      <c r="E13" s="128"/>
      <c r="F13" s="129"/>
      <c r="G13" s="66">
        <v>0</v>
      </c>
      <c r="H13" s="14" t="s">
        <v>3</v>
      </c>
      <c r="I13" s="1"/>
    </row>
    <row r="14" spans="1:9" x14ac:dyDescent="0.25">
      <c r="A14" s="1"/>
      <c r="B14" s="124" t="s">
        <v>244</v>
      </c>
      <c r="C14" s="125"/>
      <c r="D14" s="125"/>
      <c r="E14" s="125"/>
      <c r="F14" s="126"/>
      <c r="G14" s="66">
        <v>0</v>
      </c>
      <c r="H14" s="14" t="s">
        <v>3</v>
      </c>
      <c r="I14" s="1"/>
    </row>
    <row r="15" spans="1:9" x14ac:dyDescent="0.25">
      <c r="A15" s="1"/>
      <c r="B15" s="118" t="s">
        <v>41</v>
      </c>
      <c r="C15" s="119"/>
      <c r="D15" s="119"/>
      <c r="E15" s="119"/>
      <c r="F15" s="120"/>
      <c r="G15" s="23">
        <f>SUM(G11:G14)*'Fane 15. Nøgletal'!C33</f>
        <v>264033.52186986705</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5" t="s">
        <v>48</v>
      </c>
      <c r="C18" s="116"/>
      <c r="D18" s="116"/>
      <c r="E18" s="116"/>
      <c r="F18" s="116"/>
      <c r="G18" s="116"/>
      <c r="H18" s="117"/>
      <c r="I18" s="1"/>
    </row>
    <row r="19" spans="1:9" x14ac:dyDescent="0.25">
      <c r="A19" s="1"/>
      <c r="B19" s="118" t="s">
        <v>42</v>
      </c>
      <c r="C19" s="119"/>
      <c r="D19" s="119"/>
      <c r="E19" s="119"/>
      <c r="F19" s="120"/>
      <c r="G19" s="23">
        <f>(SUM(G11:G12,G14)-(G15))*(1+'Fane 15. Nøgletal'!C10)</f>
        <v>13164051.316626897</v>
      </c>
      <c r="H19" s="14" t="s">
        <v>3</v>
      </c>
      <c r="I19" s="1"/>
    </row>
    <row r="20" spans="1:9" x14ac:dyDescent="0.25">
      <c r="A20" s="1"/>
      <c r="B20" s="124" t="s">
        <v>245</v>
      </c>
      <c r="C20" s="125"/>
      <c r="D20" s="125"/>
      <c r="E20" s="125"/>
      <c r="F20" s="126"/>
      <c r="G20" s="66">
        <v>367955.58034946991</v>
      </c>
      <c r="H20" s="14" t="s">
        <v>3</v>
      </c>
      <c r="I20" s="1"/>
    </row>
    <row r="21" spans="1:9" x14ac:dyDescent="0.25">
      <c r="A21" s="1"/>
      <c r="B21" s="118" t="s">
        <v>43</v>
      </c>
      <c r="C21" s="119"/>
      <c r="D21" s="119"/>
      <c r="E21" s="119"/>
      <c r="F21" s="120"/>
      <c r="G21" s="23">
        <f>SUM(G19:G20)*'Fane 15. Nøgletal'!C33</f>
        <v>270640.13793952734</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5" t="s">
        <v>49</v>
      </c>
      <c r="C24" s="116"/>
      <c r="D24" s="116"/>
      <c r="E24" s="116"/>
      <c r="F24" s="116"/>
      <c r="G24" s="116"/>
      <c r="H24" s="117"/>
      <c r="I24" s="1"/>
    </row>
    <row r="25" spans="1:9" x14ac:dyDescent="0.25">
      <c r="A25" s="1"/>
      <c r="B25" s="118" t="s">
        <v>44</v>
      </c>
      <c r="C25" s="119"/>
      <c r="D25" s="119"/>
      <c r="E25" s="119"/>
      <c r="F25" s="120"/>
      <c r="G25" s="23">
        <f>(G19+G20-G21)*(1+'Fane 15. Nøgletal'!C12)</f>
        <v>13522615.684189865</v>
      </c>
      <c r="H25" s="14" t="s">
        <v>3</v>
      </c>
      <c r="I25" s="1"/>
    </row>
    <row r="26" spans="1:9" x14ac:dyDescent="0.25">
      <c r="A26" s="1"/>
      <c r="B26" s="124" t="s">
        <v>246</v>
      </c>
      <c r="C26" s="125"/>
      <c r="D26" s="125"/>
      <c r="E26" s="125"/>
      <c r="F26" s="126"/>
      <c r="G26" s="66">
        <v>667520.03865393007</v>
      </c>
      <c r="H26" s="14" t="s">
        <v>3</v>
      </c>
      <c r="I26" s="1"/>
    </row>
    <row r="27" spans="1:9" x14ac:dyDescent="0.25">
      <c r="A27" s="1"/>
      <c r="B27" s="118" t="s">
        <v>45</v>
      </c>
      <c r="C27" s="119"/>
      <c r="D27" s="119"/>
      <c r="E27" s="119"/>
      <c r="F27" s="120"/>
      <c r="G27" s="23">
        <f>(G25+G26)*'Fane 15. Nøgletal'!C33</f>
        <v>283802.71445687592</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5" t="s">
        <v>52</v>
      </c>
      <c r="C30" s="116"/>
      <c r="D30" s="116"/>
      <c r="E30" s="116"/>
      <c r="F30" s="116"/>
      <c r="G30" s="116"/>
      <c r="H30" s="117"/>
      <c r="I30" s="1"/>
    </row>
    <row r="31" spans="1:9" x14ac:dyDescent="0.25">
      <c r="A31" s="1"/>
      <c r="B31" s="118" t="s">
        <v>53</v>
      </c>
      <c r="C31" s="119"/>
      <c r="D31" s="119"/>
      <c r="E31" s="119"/>
      <c r="F31" s="120"/>
      <c r="G31" s="23">
        <f>(G25+G26-G27)*(1+'Fane 15. Nøgletal'!C12)</f>
        <v>14180287.768652143</v>
      </c>
      <c r="H31" s="14" t="s">
        <v>3</v>
      </c>
      <c r="I31" s="1"/>
    </row>
    <row r="32" spans="1:9" x14ac:dyDescent="0.25">
      <c r="A32" s="1"/>
      <c r="B32" s="118" t="s">
        <v>243</v>
      </c>
      <c r="C32" s="119"/>
      <c r="D32" s="119"/>
      <c r="E32" s="119"/>
      <c r="F32" s="120"/>
      <c r="G32" s="63">
        <v>19013.577372719999</v>
      </c>
      <c r="H32" s="14" t="s">
        <v>3</v>
      </c>
      <c r="I32" s="1"/>
    </row>
    <row r="33" spans="1:9" x14ac:dyDescent="0.25">
      <c r="A33" s="1"/>
      <c r="B33" s="118" t="s">
        <v>54</v>
      </c>
      <c r="C33" s="119"/>
      <c r="D33" s="119"/>
      <c r="E33" s="119"/>
      <c r="F33" s="120"/>
      <c r="G33" s="23">
        <f>(G31+G32)*'Fane 15. Nøgletal'!C33</f>
        <v>283986.0269204973</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5" t="s">
        <v>126</v>
      </c>
      <c r="C36" s="116"/>
      <c r="D36" s="116"/>
      <c r="E36" s="116"/>
      <c r="F36" s="116"/>
      <c r="G36" s="116"/>
      <c r="H36" s="117"/>
      <c r="I36" s="1"/>
    </row>
    <row r="37" spans="1:9" x14ac:dyDescent="0.25">
      <c r="A37" s="1"/>
      <c r="B37" s="118" t="s">
        <v>68</v>
      </c>
      <c r="C37" s="119"/>
      <c r="D37" s="119"/>
      <c r="E37" s="119"/>
      <c r="F37" s="120"/>
      <c r="G37" s="23">
        <f>(G31+G32-G33)*(1+'Fane 15. Nøgletal'!C14)</f>
        <v>13961235.859657412</v>
      </c>
      <c r="H37" s="14" t="s">
        <v>3</v>
      </c>
      <c r="I37" s="1"/>
    </row>
    <row r="38" spans="1:9" x14ac:dyDescent="0.25">
      <c r="A38" s="1"/>
      <c r="B38" s="118" t="s">
        <v>242</v>
      </c>
      <c r="C38" s="119"/>
      <c r="D38" s="119"/>
      <c r="E38" s="119"/>
      <c r="F38" s="120"/>
      <c r="G38" s="63">
        <v>825253.83239226008</v>
      </c>
      <c r="H38" s="14" t="s">
        <v>3</v>
      </c>
      <c r="I38" s="1"/>
    </row>
    <row r="39" spans="1:9" x14ac:dyDescent="0.25">
      <c r="A39" s="1"/>
      <c r="B39" s="118" t="s">
        <v>128</v>
      </c>
      <c r="C39" s="119"/>
      <c r="D39" s="119"/>
      <c r="E39" s="119"/>
      <c r="F39" s="120"/>
      <c r="G39" s="23">
        <f>(G37+G38)*'Fane 15. Nøgletal'!C33</f>
        <v>295729.79384099349</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5" t="s">
        <v>127</v>
      </c>
      <c r="C42" s="116"/>
      <c r="D42" s="116"/>
      <c r="E42" s="116"/>
      <c r="F42" s="116"/>
      <c r="G42" s="116"/>
      <c r="H42" s="117"/>
      <c r="I42" s="1"/>
    </row>
    <row r="43" spans="1:9" x14ac:dyDescent="0.25">
      <c r="A43" s="1"/>
      <c r="B43" s="118" t="s">
        <v>155</v>
      </c>
      <c r="C43" s="119"/>
      <c r="D43" s="119"/>
      <c r="E43" s="119"/>
      <c r="F43" s="120"/>
      <c r="G43" s="23">
        <f>(G37+G38-G39)*(1+'Fane 15. Nøgletal'!C14)</f>
        <v>14538579.40587277</v>
      </c>
      <c r="H43" s="14" t="s">
        <v>3</v>
      </c>
      <c r="I43" s="1"/>
    </row>
    <row r="44" spans="1:9" x14ac:dyDescent="0.25">
      <c r="A44" s="1"/>
      <c r="B44" s="121" t="s">
        <v>157</v>
      </c>
      <c r="C44" s="122"/>
      <c r="D44" s="122"/>
      <c r="E44" s="122"/>
      <c r="F44" s="123"/>
      <c r="G44" s="45">
        <v>154192.92221664003</v>
      </c>
      <c r="H44" s="14" t="s">
        <v>3</v>
      </c>
      <c r="I44" s="1"/>
    </row>
    <row r="45" spans="1:9" x14ac:dyDescent="0.25">
      <c r="A45" s="1"/>
      <c r="B45" s="118" t="s">
        <v>129</v>
      </c>
      <c r="C45" s="119"/>
      <c r="D45" s="119"/>
      <c r="E45" s="119"/>
      <c r="F45" s="120"/>
      <c r="G45" s="23">
        <f>SUM(G43:G44)*'Fane 15. Nøgletal'!C33</f>
        <v>293855.44656178821</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5" t="s">
        <v>192</v>
      </c>
      <c r="C51" s="116"/>
      <c r="D51" s="116"/>
      <c r="E51" s="116"/>
      <c r="F51" s="116"/>
      <c r="G51" s="116"/>
      <c r="H51" s="117"/>
      <c r="I51" s="1"/>
    </row>
    <row r="52" spans="1:9" x14ac:dyDescent="0.25">
      <c r="A52" s="1"/>
      <c r="B52" s="118" t="s">
        <v>154</v>
      </c>
      <c r="C52" s="119"/>
      <c r="D52" s="119"/>
      <c r="E52" s="119"/>
      <c r="F52" s="120"/>
      <c r="G52" s="23">
        <f>(G43+G44-G45)*(1+'Fane 15. Nøgletal'!C16)</f>
        <v>15562349.365555054</v>
      </c>
      <c r="H52" s="14" t="s">
        <v>3</v>
      </c>
      <c r="I52" s="1"/>
    </row>
    <row r="53" spans="1:9" x14ac:dyDescent="0.25">
      <c r="A53" s="1"/>
      <c r="B53" s="79" t="s">
        <v>194</v>
      </c>
      <c r="C53" s="80"/>
      <c r="D53" s="80"/>
      <c r="E53" s="80"/>
      <c r="F53" s="81"/>
      <c r="G53" s="23">
        <f>('Fane 2.1. Økonomisk ramme 2024'!C10+'Fane 2.1. Økonomisk ramme 2024'!C12+'Fane 2.1. Økonomisk ramme 2024'!C14)*(1+'Fane 15. Nøgletal'!C16)</f>
        <v>185860.94791039999</v>
      </c>
      <c r="H53" s="14" t="s">
        <v>3</v>
      </c>
      <c r="I53" s="1"/>
    </row>
    <row r="54" spans="1:9" x14ac:dyDescent="0.25">
      <c r="A54" s="1"/>
      <c r="B54" s="118" t="s">
        <v>210</v>
      </c>
      <c r="C54" s="119"/>
      <c r="D54" s="119"/>
      <c r="E54" s="119"/>
      <c r="F54" s="120"/>
      <c r="G54" s="23">
        <f>(G52)*'Fane 15. Nøgletal'!C33+(G53)*'Fane 15. Nøgletal'!C33</f>
        <v>314964.20626930904</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5" t="s">
        <v>193</v>
      </c>
      <c r="C57" s="116"/>
      <c r="D57" s="116"/>
      <c r="E57" s="116"/>
      <c r="F57" s="116"/>
      <c r="G57" s="116"/>
      <c r="H57" s="117"/>
      <c r="I57" s="1"/>
    </row>
    <row r="58" spans="1:9" x14ac:dyDescent="0.25">
      <c r="A58" s="1"/>
      <c r="B58" s="79" t="s">
        <v>212</v>
      </c>
      <c r="C58" s="80"/>
      <c r="D58" s="80"/>
      <c r="E58" s="80"/>
      <c r="F58" s="81"/>
      <c r="G58" s="23">
        <f>(G52+G53-G54)*(1+'Fane 15. Nøgletal'!C16)</f>
        <v>16680252.392657593</v>
      </c>
      <c r="H58" s="14" t="s">
        <v>3</v>
      </c>
      <c r="I58" s="1"/>
    </row>
    <row r="59" spans="1:9" x14ac:dyDescent="0.25">
      <c r="A59" s="1"/>
      <c r="B59" s="79" t="s">
        <v>211</v>
      </c>
      <c r="C59" s="80"/>
      <c r="D59" s="80"/>
      <c r="E59" s="80"/>
      <c r="F59" s="81"/>
      <c r="G59" s="23">
        <f>(G58)*'Fane 15. Nøgletal'!C33</f>
        <v>333605.04785315186</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5" t="s">
        <v>256</v>
      </c>
      <c r="C62" s="116"/>
      <c r="D62" s="116"/>
      <c r="E62" s="116"/>
      <c r="F62" s="116"/>
      <c r="G62" s="116"/>
      <c r="H62" s="117"/>
      <c r="I62" s="1"/>
    </row>
    <row r="63" spans="1:9" x14ac:dyDescent="0.25">
      <c r="A63" s="1"/>
      <c r="B63" s="79" t="s">
        <v>213</v>
      </c>
      <c r="C63" s="80"/>
      <c r="D63" s="80"/>
      <c r="E63" s="80"/>
      <c r="F63" s="81"/>
      <c r="G63" s="23">
        <f>(G58-G59)*(1+'Fane 15. Nøgletal'!C16)</f>
        <v>17667456.45026464</v>
      </c>
      <c r="H63" s="14" t="s">
        <v>3</v>
      </c>
      <c r="I63" s="1"/>
    </row>
    <row r="64" spans="1:9" x14ac:dyDescent="0.25">
      <c r="A64" s="1"/>
      <c r="B64" s="79" t="s">
        <v>214</v>
      </c>
      <c r="C64" s="80"/>
      <c r="D64" s="80"/>
      <c r="E64" s="80"/>
      <c r="F64" s="81"/>
      <c r="G64" s="23">
        <f>(G63)*'Fane 15. Nøgletal'!C33</f>
        <v>353349.12900529284</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5" t="s">
        <v>257</v>
      </c>
      <c r="C67" s="116"/>
      <c r="D67" s="116"/>
      <c r="E67" s="116"/>
      <c r="F67" s="116"/>
      <c r="G67" s="116"/>
      <c r="H67" s="117"/>
      <c r="I67" s="1"/>
    </row>
    <row r="68" spans="1:9" x14ac:dyDescent="0.25">
      <c r="A68" s="1"/>
      <c r="B68" s="79" t="s">
        <v>213</v>
      </c>
      <c r="C68" s="80"/>
      <c r="D68" s="80"/>
      <c r="E68" s="80"/>
      <c r="F68" s="81"/>
      <c r="G68" s="23">
        <f>(G63-G64)*(1+'Fane 15. Nøgletal'!C16)</f>
        <v>18713087.192817099</v>
      </c>
      <c r="H68" s="14" t="s">
        <v>3</v>
      </c>
      <c r="I68" s="1"/>
    </row>
    <row r="69" spans="1:9" x14ac:dyDescent="0.25">
      <c r="A69" s="1"/>
      <c r="B69" s="79" t="s">
        <v>214</v>
      </c>
      <c r="C69" s="80"/>
      <c r="D69" s="80"/>
      <c r="E69" s="80"/>
      <c r="F69" s="81"/>
      <c r="G69" s="23">
        <f>(G68)*'Fane 15. Nøgletal'!C33</f>
        <v>374261.74385634199</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URajM3hWeM7TGLyEix3jWeu0eDPQbtYlEl64VtqfxVjDpv3TX8bNeczxahK6OoBUdvnMVDyasIxfXhkxNoMZxw==" saltValue="2EAmjyOwNGXtXrOeNdK+OA==" spinCount="100000" sheet="1" objects="1" scenarios="1"/>
  <mergeCells count="37">
    <mergeCell ref="B6:F6"/>
    <mergeCell ref="B2:H3"/>
    <mergeCell ref="B24:H24"/>
    <mergeCell ref="B4:H4"/>
    <mergeCell ref="B5:F5"/>
    <mergeCell ref="B7:F7"/>
    <mergeCell ref="B12:F12"/>
    <mergeCell ref="B13:F13"/>
    <mergeCell ref="B18:H18"/>
    <mergeCell ref="B14:F1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7:H67"/>
    <mergeCell ref="B54:F54"/>
    <mergeCell ref="B37:F37"/>
    <mergeCell ref="B32:F32"/>
    <mergeCell ref="B33:F33"/>
    <mergeCell ref="B42:H42"/>
    <mergeCell ref="B43:F43"/>
    <mergeCell ref="B45:F45"/>
    <mergeCell ref="B38:F38"/>
    <mergeCell ref="B39:F39"/>
    <mergeCell ref="B44:F4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55" zoomScaleNormal="100" zoomScalePageLayoutView="55"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30" t="s">
        <v>92</v>
      </c>
      <c r="C1" s="130"/>
      <c r="D1" s="130"/>
      <c r="E1" s="130"/>
      <c r="F1" s="130"/>
      <c r="G1" s="130"/>
      <c r="H1" s="130"/>
      <c r="I1" s="1"/>
    </row>
    <row r="2" spans="1:9" ht="15" customHeight="1" x14ac:dyDescent="0.25">
      <c r="A2" s="1"/>
      <c r="B2" s="130"/>
      <c r="C2" s="130"/>
      <c r="D2" s="130"/>
      <c r="E2" s="130"/>
      <c r="F2" s="130"/>
      <c r="G2" s="130"/>
      <c r="H2" s="130"/>
      <c r="I2" s="1"/>
    </row>
    <row r="3" spans="1:9" ht="15" customHeight="1" x14ac:dyDescent="0.25">
      <c r="A3" s="1"/>
      <c r="B3" s="131"/>
      <c r="C3" s="131"/>
      <c r="D3" s="131"/>
      <c r="E3" s="131"/>
      <c r="F3" s="131"/>
      <c r="G3" s="131"/>
      <c r="H3" s="131"/>
      <c r="I3" s="1"/>
    </row>
    <row r="4" spans="1:9" x14ac:dyDescent="0.25">
      <c r="A4" s="1"/>
      <c r="B4" s="115" t="s">
        <v>50</v>
      </c>
      <c r="C4" s="116"/>
      <c r="D4" s="116"/>
      <c r="E4" s="116"/>
      <c r="F4" s="116"/>
      <c r="G4" s="116"/>
      <c r="H4" s="117"/>
      <c r="I4" s="1"/>
    </row>
    <row r="5" spans="1:9" x14ac:dyDescent="0.25">
      <c r="A5" s="1"/>
      <c r="B5" s="118" t="s">
        <v>55</v>
      </c>
      <c r="C5" s="119"/>
      <c r="D5" s="119"/>
      <c r="E5" s="119"/>
      <c r="F5" s="120"/>
      <c r="G5" s="63">
        <v>59574404.959096842</v>
      </c>
      <c r="H5" s="14" t="s">
        <v>3</v>
      </c>
      <c r="I5" s="1"/>
    </row>
    <row r="6" spans="1:9" x14ac:dyDescent="0.25">
      <c r="A6" s="1"/>
      <c r="B6" s="118" t="s">
        <v>51</v>
      </c>
      <c r="C6" s="119"/>
      <c r="D6" s="119"/>
      <c r="E6" s="119"/>
      <c r="F6" s="120"/>
      <c r="G6" s="23">
        <f>G5*'Fane 15. Nøgletal'!C21</f>
        <v>542127.08512778126</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5" t="s">
        <v>56</v>
      </c>
      <c r="C9" s="116"/>
      <c r="D9" s="116"/>
      <c r="E9" s="116"/>
      <c r="F9" s="116"/>
      <c r="G9" s="116"/>
      <c r="H9" s="117"/>
      <c r="I9" s="1"/>
    </row>
    <row r="10" spans="1:9" x14ac:dyDescent="0.25">
      <c r="A10" s="1"/>
      <c r="B10" s="118" t="s">
        <v>57</v>
      </c>
      <c r="C10" s="119"/>
      <c r="D10" s="119"/>
      <c r="E10" s="119"/>
      <c r="F10" s="120"/>
      <c r="G10" s="23">
        <f>(G5-G6)*(1+'Fane 15. Nøgletal'!C10)</f>
        <v>60065342.736763529</v>
      </c>
      <c r="H10" s="14" t="s">
        <v>3</v>
      </c>
      <c r="I10" s="1"/>
    </row>
    <row r="11" spans="1:9" x14ac:dyDescent="0.25">
      <c r="A11" s="1"/>
      <c r="B11" s="118" t="s">
        <v>104</v>
      </c>
      <c r="C11" s="119"/>
      <c r="D11" s="119"/>
      <c r="E11" s="119"/>
      <c r="F11" s="120"/>
      <c r="G11" s="63">
        <v>-27811.477337219625</v>
      </c>
      <c r="H11" s="14" t="s">
        <v>3</v>
      </c>
      <c r="I11" s="1"/>
    </row>
    <row r="12" spans="1:9" x14ac:dyDescent="0.25">
      <c r="A12" s="1"/>
      <c r="B12" s="124" t="s">
        <v>247</v>
      </c>
      <c r="C12" s="125"/>
      <c r="D12" s="125"/>
      <c r="E12" s="125"/>
      <c r="F12" s="126"/>
      <c r="G12" s="66">
        <v>0</v>
      </c>
      <c r="H12" s="14" t="s">
        <v>3</v>
      </c>
      <c r="I12" s="1"/>
    </row>
    <row r="13" spans="1:9" x14ac:dyDescent="0.25">
      <c r="A13" s="1"/>
      <c r="B13" s="118" t="s">
        <v>58</v>
      </c>
      <c r="C13" s="119"/>
      <c r="D13" s="119"/>
      <c r="E13" s="119"/>
      <c r="F13" s="120"/>
      <c r="G13" s="23">
        <f>SUM(G10:G12)*'Fane 15. Nøgletal'!C22</f>
        <v>1062664.3032918458</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5" t="s">
        <v>59</v>
      </c>
      <c r="C16" s="116"/>
      <c r="D16" s="116"/>
      <c r="E16" s="116"/>
      <c r="F16" s="116"/>
      <c r="G16" s="116"/>
      <c r="H16" s="117"/>
      <c r="I16" s="1"/>
    </row>
    <row r="17" spans="1:9" x14ac:dyDescent="0.25">
      <c r="A17" s="1"/>
      <c r="B17" s="118" t="s">
        <v>60</v>
      </c>
      <c r="C17" s="119"/>
      <c r="D17" s="119"/>
      <c r="E17" s="119"/>
      <c r="F17" s="120"/>
      <c r="G17" s="23">
        <f>(SUM(G10:G12)-G13)*(1+'Fane 15. Nøgletal'!C10)</f>
        <v>60006927.127866827</v>
      </c>
      <c r="H17" s="14" t="s">
        <v>3</v>
      </c>
      <c r="I17" s="1"/>
    </row>
    <row r="18" spans="1:9" x14ac:dyDescent="0.25">
      <c r="A18" s="1"/>
      <c r="B18" s="124" t="s">
        <v>248</v>
      </c>
      <c r="C18" s="125"/>
      <c r="D18" s="125"/>
      <c r="E18" s="125"/>
      <c r="F18" s="126"/>
      <c r="G18" s="63">
        <v>1027884.1985968298</v>
      </c>
      <c r="H18" s="14" t="s">
        <v>3</v>
      </c>
      <c r="I18" s="1"/>
    </row>
    <row r="19" spans="1:9" x14ac:dyDescent="0.25">
      <c r="A19" s="1"/>
      <c r="B19" s="118" t="s">
        <v>61</v>
      </c>
      <c r="C19" s="119"/>
      <c r="D19" s="119"/>
      <c r="E19" s="119"/>
      <c r="F19" s="120"/>
      <c r="G19" s="23">
        <f>G17*'Fane 15. Nøgletal'!C22+G18*'Fane 15. Nøgletal'!C23</f>
        <v>1071065.2026910351</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5" t="s">
        <v>62</v>
      </c>
      <c r="C22" s="116"/>
      <c r="D22" s="116"/>
      <c r="E22" s="116"/>
      <c r="F22" s="116"/>
      <c r="G22" s="116"/>
      <c r="H22" s="117"/>
      <c r="I22" s="1"/>
    </row>
    <row r="23" spans="1:9" x14ac:dyDescent="0.25">
      <c r="A23" s="1"/>
      <c r="B23" s="118" t="s">
        <v>63</v>
      </c>
      <c r="C23" s="119"/>
      <c r="D23" s="119"/>
      <c r="E23" s="119"/>
      <c r="F23" s="120"/>
      <c r="G23" s="23">
        <f>(G17+G18-G19)*(1+'Fane 15. Nøgletal'!C12)</f>
        <v>61145031.922410943</v>
      </c>
      <c r="H23" s="14" t="s">
        <v>3</v>
      </c>
      <c r="I23" s="1"/>
    </row>
    <row r="24" spans="1:9" x14ac:dyDescent="0.25">
      <c r="A24" s="1"/>
      <c r="B24" s="124" t="s">
        <v>249</v>
      </c>
      <c r="C24" s="125"/>
      <c r="D24" s="125"/>
      <c r="E24" s="125"/>
      <c r="F24" s="126"/>
      <c r="G24" s="63">
        <v>569916.04046020878</v>
      </c>
      <c r="H24" s="14" t="s">
        <v>3</v>
      </c>
      <c r="I24" s="1"/>
    </row>
    <row r="25" spans="1:9" x14ac:dyDescent="0.25">
      <c r="A25" s="1"/>
      <c r="B25" s="118" t="s">
        <v>64</v>
      </c>
      <c r="C25" s="119"/>
      <c r="D25" s="119"/>
      <c r="E25" s="119"/>
      <c r="F25" s="120"/>
      <c r="G25" s="23">
        <f>(G23+G24)*'Fane 15. Nøgletal'!C24</f>
        <v>1752704.5221455407</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5" t="s">
        <v>65</v>
      </c>
      <c r="C28" s="116"/>
      <c r="D28" s="116"/>
      <c r="E28" s="116"/>
      <c r="F28" s="116"/>
      <c r="G28" s="116"/>
      <c r="H28" s="117"/>
      <c r="I28" s="1"/>
    </row>
    <row r="29" spans="1:9" x14ac:dyDescent="0.25">
      <c r="A29" s="1"/>
      <c r="B29" s="118" t="s">
        <v>66</v>
      </c>
      <c r="C29" s="119"/>
      <c r="D29" s="119"/>
      <c r="E29" s="119"/>
      <c r="F29" s="120"/>
      <c r="G29" s="23">
        <f>(G23+G24-G25)*(1+'Fane 15. Nøgletal'!C12)</f>
        <v>61143499.636507906</v>
      </c>
      <c r="H29" s="14" t="s">
        <v>3</v>
      </c>
      <c r="I29" s="1"/>
    </row>
    <row r="30" spans="1:9" x14ac:dyDescent="0.25">
      <c r="A30" s="1"/>
      <c r="B30" s="118" t="s">
        <v>250</v>
      </c>
      <c r="C30" s="119"/>
      <c r="D30" s="119"/>
      <c r="E30" s="119"/>
      <c r="F30" s="120"/>
      <c r="G30" s="63">
        <v>115101.91488096</v>
      </c>
      <c r="H30" s="14" t="s">
        <v>3</v>
      </c>
      <c r="I30" s="1"/>
    </row>
    <row r="31" spans="1:9" x14ac:dyDescent="0.25">
      <c r="A31" s="1"/>
      <c r="B31" s="118" t="s">
        <v>67</v>
      </c>
      <c r="C31" s="119"/>
      <c r="D31" s="119"/>
      <c r="E31" s="119"/>
      <c r="F31" s="120"/>
      <c r="G31" s="23">
        <f>G29*'Fane 15. Nøgletal'!C24+G30*'Fane 15. Nøgletal'!C25</f>
        <v>1739640.692336051</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5" t="s">
        <v>130</v>
      </c>
      <c r="C34" s="116"/>
      <c r="D34" s="116"/>
      <c r="E34" s="116"/>
      <c r="F34" s="116"/>
      <c r="G34" s="116"/>
      <c r="H34" s="117"/>
      <c r="I34" s="1"/>
    </row>
    <row r="35" spans="1:9" x14ac:dyDescent="0.25">
      <c r="A35" s="1"/>
      <c r="B35" s="118" t="s">
        <v>215</v>
      </c>
      <c r="C35" s="119"/>
      <c r="D35" s="119"/>
      <c r="E35" s="119"/>
      <c r="F35" s="120"/>
      <c r="G35" s="23">
        <f>(G29+G30-G31)*(1+'Fane 15. Nøgletal'!C14)</f>
        <v>59715373.429887697</v>
      </c>
      <c r="H35" s="14" t="s">
        <v>3</v>
      </c>
      <c r="I35" s="1"/>
    </row>
    <row r="36" spans="1:9" x14ac:dyDescent="0.25">
      <c r="A36" s="1"/>
      <c r="B36" s="118" t="s">
        <v>251</v>
      </c>
      <c r="C36" s="119"/>
      <c r="D36" s="119"/>
      <c r="E36" s="119"/>
      <c r="F36" s="120"/>
      <c r="G36" s="63">
        <v>0</v>
      </c>
      <c r="H36" s="14" t="s">
        <v>3</v>
      </c>
      <c r="I36" s="1"/>
    </row>
    <row r="37" spans="1:9" x14ac:dyDescent="0.25">
      <c r="A37" s="1"/>
      <c r="B37" s="118" t="s">
        <v>131</v>
      </c>
      <c r="C37" s="119"/>
      <c r="D37" s="119"/>
      <c r="E37" s="119"/>
      <c r="F37" s="120"/>
      <c r="G37" s="23">
        <f>(G35+G36)*'Fane 15. Nøgletal'!C26</f>
        <v>883787.52676233801</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5" t="s">
        <v>151</v>
      </c>
      <c r="C40" s="116"/>
      <c r="D40" s="116"/>
      <c r="E40" s="116"/>
      <c r="F40" s="116"/>
      <c r="G40" s="116"/>
      <c r="H40" s="117"/>
      <c r="I40" s="1"/>
    </row>
    <row r="41" spans="1:9" x14ac:dyDescent="0.25">
      <c r="A41" s="1"/>
      <c r="B41" s="118" t="s">
        <v>216</v>
      </c>
      <c r="C41" s="119"/>
      <c r="D41" s="119"/>
      <c r="E41" s="119"/>
      <c r="F41" s="120"/>
      <c r="G41" s="23">
        <f>(G35+G36-G37)*(1+'Fane 15. Nøgletal'!C14)</f>
        <v>59025730.13660568</v>
      </c>
      <c r="H41" s="14" t="s">
        <v>3</v>
      </c>
      <c r="I41" s="1"/>
    </row>
    <row r="42" spans="1:9" x14ac:dyDescent="0.25">
      <c r="A42" s="1"/>
      <c r="B42" s="40" t="s">
        <v>156</v>
      </c>
      <c r="C42" s="80"/>
      <c r="D42" s="80"/>
      <c r="E42" s="80"/>
      <c r="F42" s="81"/>
      <c r="G42" s="23">
        <v>624623.22240912006</v>
      </c>
      <c r="H42" s="14" t="s">
        <v>3</v>
      </c>
      <c r="I42" s="1"/>
    </row>
    <row r="43" spans="1:9" x14ac:dyDescent="0.25">
      <c r="A43" s="1"/>
      <c r="B43" s="118" t="s">
        <v>132</v>
      </c>
      <c r="C43" s="119"/>
      <c r="D43" s="119"/>
      <c r="E43" s="119"/>
      <c r="F43" s="120"/>
      <c r="G43" s="23">
        <f>(G41)*'Fane 15. Nøgletal'!C26+G42*'Fane 15. Nøgletal'!C27</f>
        <v>873580.80602176406</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5" t="s">
        <v>259</v>
      </c>
      <c r="C52" s="116"/>
      <c r="D52" s="116"/>
      <c r="E52" s="116"/>
      <c r="F52" s="116"/>
      <c r="G52" s="116"/>
      <c r="H52" s="117"/>
      <c r="I52" s="1"/>
    </row>
    <row r="53" spans="1:9" x14ac:dyDescent="0.25">
      <c r="A53" s="1"/>
      <c r="B53" s="118" t="s">
        <v>217</v>
      </c>
      <c r="C53" s="119"/>
      <c r="D53" s="119"/>
      <c r="E53" s="119"/>
      <c r="F53" s="120"/>
      <c r="G53" s="23">
        <f>(G41+G42-G43)*(1+'Fane 15. Nøgletal'!C16)</f>
        <v>63525935.775274873</v>
      </c>
      <c r="H53" s="14" t="s">
        <v>3</v>
      </c>
      <c r="I53" s="1"/>
    </row>
    <row r="54" spans="1:9" x14ac:dyDescent="0.25">
      <c r="A54" s="1"/>
      <c r="B54" s="79" t="s">
        <v>195</v>
      </c>
      <c r="C54" s="80"/>
      <c r="D54" s="80"/>
      <c r="E54" s="80"/>
      <c r="F54" s="81"/>
      <c r="G54" s="23">
        <f>('Fane 2.1. Økonomisk ramme 2024'!C11+'Fane 2.1. Økonomisk ramme 2024'!C13+'Fane 2.1. Økonomisk ramme 2024'!C15)*(1+'Fane 15. Nøgletal'!C16)</f>
        <v>631648.04015040002</v>
      </c>
      <c r="H54" s="14" t="s">
        <v>3</v>
      </c>
      <c r="I54" s="1"/>
    </row>
    <row r="55" spans="1:9" x14ac:dyDescent="0.25">
      <c r="A55" s="1"/>
      <c r="B55" s="118" t="s">
        <v>218</v>
      </c>
      <c r="C55" s="119"/>
      <c r="D55" s="119"/>
      <c r="E55" s="119"/>
      <c r="F55" s="120"/>
      <c r="G55" s="73">
        <f>SUM(G53:G54)*'Fane 15. Nøgletal'!C28</f>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5" t="s">
        <v>258</v>
      </c>
      <c r="C58" s="116"/>
      <c r="D58" s="116"/>
      <c r="E58" s="116"/>
      <c r="F58" s="116"/>
      <c r="G58" s="116"/>
      <c r="H58" s="117"/>
      <c r="I58" s="1"/>
    </row>
    <row r="59" spans="1:9" x14ac:dyDescent="0.25">
      <c r="A59" s="1"/>
      <c r="B59" s="118" t="s">
        <v>219</v>
      </c>
      <c r="C59" s="119"/>
      <c r="D59" s="119"/>
      <c r="E59" s="119"/>
      <c r="F59" s="120"/>
      <c r="G59" s="23">
        <f>(G53+G54-G55)*(1+'Fane 15. Nøgletal'!C16)</f>
        <v>69341516.587711632</v>
      </c>
      <c r="H59" s="14" t="s">
        <v>3</v>
      </c>
      <c r="I59" s="1"/>
    </row>
    <row r="60" spans="1:9" x14ac:dyDescent="0.25">
      <c r="A60" s="1"/>
      <c r="B60" s="118" t="s">
        <v>220</v>
      </c>
      <c r="C60" s="119"/>
      <c r="D60" s="119"/>
      <c r="E60" s="119"/>
      <c r="F60" s="120"/>
      <c r="G60" s="73">
        <f>(G59)*'Fane 15. Nøgletal'!C28</f>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5" t="s">
        <v>141</v>
      </c>
      <c r="C63" s="116"/>
      <c r="D63" s="116"/>
      <c r="E63" s="116"/>
      <c r="F63" s="116"/>
      <c r="G63" s="116"/>
      <c r="H63" s="117"/>
      <c r="I63" s="1"/>
    </row>
    <row r="64" spans="1:9" x14ac:dyDescent="0.25">
      <c r="A64" s="1"/>
      <c r="B64" s="118" t="s">
        <v>221</v>
      </c>
      <c r="C64" s="119"/>
      <c r="D64" s="119"/>
      <c r="E64" s="119"/>
      <c r="F64" s="120"/>
      <c r="G64" s="23">
        <f>(G59-G60)*(1+'Fane 15. Nøgletal'!C16)</f>
        <v>74944311.127998725</v>
      </c>
      <c r="H64" s="14" t="s">
        <v>3</v>
      </c>
      <c r="I64" s="1"/>
    </row>
    <row r="65" spans="1:9" x14ac:dyDescent="0.25">
      <c r="A65" s="1"/>
      <c r="B65" s="118" t="s">
        <v>222</v>
      </c>
      <c r="C65" s="119"/>
      <c r="D65" s="119"/>
      <c r="E65" s="119"/>
      <c r="F65" s="120"/>
      <c r="G65" s="73">
        <f>(G64)*'Fane 15. Nøgletal'!C28</f>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5" t="s">
        <v>223</v>
      </c>
      <c r="C68" s="116"/>
      <c r="D68" s="116"/>
      <c r="E68" s="116"/>
      <c r="F68" s="116"/>
      <c r="G68" s="116"/>
      <c r="H68" s="117"/>
      <c r="I68" s="1"/>
    </row>
    <row r="69" spans="1:9" x14ac:dyDescent="0.25">
      <c r="A69" s="1"/>
      <c r="B69" s="118" t="s">
        <v>221</v>
      </c>
      <c r="C69" s="119"/>
      <c r="D69" s="119"/>
      <c r="E69" s="119"/>
      <c r="F69" s="120"/>
      <c r="G69" s="23">
        <f>(G64-G65)*(1+'Fane 15. Nøgletal'!C16)</f>
        <v>80999811.467141017</v>
      </c>
      <c r="H69" s="14" t="s">
        <v>3</v>
      </c>
      <c r="I69" s="1"/>
    </row>
    <row r="70" spans="1:9" x14ac:dyDescent="0.25">
      <c r="A70" s="1"/>
      <c r="B70" s="118" t="s">
        <v>222</v>
      </c>
      <c r="C70" s="119"/>
      <c r="D70" s="119"/>
      <c r="E70" s="119"/>
      <c r="F70" s="120"/>
      <c r="G70" s="73">
        <f>(G69)*'Fane 15. Nøgletal'!C28</f>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PZhSa5B8EgQuQRukEKxQZFoXw4AC4OYnr9DJvvnW/gSuwURNZrI+H2bnIW4WSf7u7Ymhwdr9UWQrYQA3ybd+TA==" saltValue="GMvDPLNgmaqmcAPO6nzHhQ==" spinCount="100000" sheet="1" objects="1" scenarios="1"/>
  <mergeCells count="40">
    <mergeCell ref="B68:H68"/>
    <mergeCell ref="B69:F69"/>
    <mergeCell ref="B70:F70"/>
    <mergeCell ref="B63:H63"/>
    <mergeCell ref="B64:F64"/>
    <mergeCell ref="B65:F65"/>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16:H16"/>
    <mergeCell ref="B17:F17"/>
    <mergeCell ref="B31:F31"/>
    <mergeCell ref="B34:H34"/>
    <mergeCell ref="B36:F36"/>
    <mergeCell ref="B24:F24"/>
    <mergeCell ref="B25:F25"/>
    <mergeCell ref="B18:F18"/>
    <mergeCell ref="B30:F30"/>
    <mergeCell ref="B22:H22"/>
    <mergeCell ref="B28:H28"/>
    <mergeCell ref="B29:F29"/>
    <mergeCell ref="B58:H58"/>
    <mergeCell ref="B59:F59"/>
    <mergeCell ref="B60:F60"/>
    <mergeCell ref="B41:F41"/>
    <mergeCell ref="B37:F37"/>
    <mergeCell ref="B40:H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70" zoomScaleNormal="100" zoomScalePageLayoutView="7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1" t="s">
        <v>76</v>
      </c>
      <c r="C3" s="111"/>
      <c r="D3" s="111"/>
      <c r="E3" s="111"/>
      <c r="F3" s="111"/>
      <c r="G3" s="111"/>
      <c r="H3" s="1"/>
    </row>
    <row r="4" spans="1:8" ht="15" customHeight="1" x14ac:dyDescent="0.25">
      <c r="A4" s="1"/>
      <c r="B4" s="111"/>
      <c r="C4" s="111"/>
      <c r="D4" s="111"/>
      <c r="E4" s="111"/>
      <c r="F4" s="111"/>
      <c r="G4" s="11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5" t="s">
        <v>10</v>
      </c>
      <c r="C8" s="116"/>
      <c r="D8" s="116"/>
      <c r="E8" s="116"/>
      <c r="F8" s="116"/>
      <c r="G8" s="117"/>
      <c r="H8" s="1"/>
    </row>
    <row r="9" spans="1:8" x14ac:dyDescent="0.25">
      <c r="A9" s="1"/>
      <c r="B9" s="118" t="s">
        <v>271</v>
      </c>
      <c r="C9" s="119"/>
      <c r="D9" s="119"/>
      <c r="E9" s="119"/>
      <c r="F9" s="120"/>
      <c r="G9" s="22">
        <v>0</v>
      </c>
      <c r="H9" s="1"/>
    </row>
    <row r="10" spans="1:8" x14ac:dyDescent="0.25">
      <c r="A10" s="1"/>
      <c r="B10" s="33"/>
      <c r="C10" s="28"/>
      <c r="D10" s="28"/>
      <c r="E10" s="28"/>
      <c r="F10" s="28"/>
      <c r="G10" s="19"/>
      <c r="H10" s="1"/>
    </row>
    <row r="11" spans="1:8" ht="33" customHeight="1" x14ac:dyDescent="0.25">
      <c r="A11" s="1"/>
      <c r="B11" s="132" t="s">
        <v>264</v>
      </c>
      <c r="C11" s="132"/>
      <c r="D11" s="132"/>
      <c r="E11" s="132"/>
      <c r="F11" s="132"/>
      <c r="G11" s="132"/>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M/Q0qj5vZmnrUUDqfFQEOaltf+2tNb5b2RmSKe/n3j7F/F5dErV6nSXgq1d69Er11BW+2BEhIc++3nXo14qBrA==" saltValue="NWZhHQo/Ls543ntzGa/JlA=="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7"/>
  <sheetViews>
    <sheetView showGridLines="0" view="pageLayout" zoomScale="40" zoomScaleNormal="100" zoomScalePageLayoutView="4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1" t="s">
        <v>93</v>
      </c>
      <c r="C3" s="111"/>
      <c r="D3" s="111"/>
      <c r="E3" s="1"/>
      <c r="F3" s="1"/>
    </row>
    <row r="4" spans="1:6" ht="15" customHeight="1" x14ac:dyDescent="0.25">
      <c r="A4" s="1"/>
      <c r="B4" s="111"/>
      <c r="C4" s="111"/>
      <c r="D4" s="11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5" t="s">
        <v>224</v>
      </c>
      <c r="C8" s="116"/>
      <c r="D8" s="117"/>
      <c r="E8" s="1"/>
      <c r="F8" s="1"/>
    </row>
    <row r="9" spans="1:6" ht="15" customHeight="1" x14ac:dyDescent="0.25">
      <c r="A9" s="1"/>
      <c r="B9" s="27" t="s">
        <v>29</v>
      </c>
      <c r="C9" s="50" t="s">
        <v>225</v>
      </c>
      <c r="D9" s="11"/>
      <c r="E9" s="1"/>
      <c r="F9" s="1"/>
    </row>
    <row r="10" spans="1:6" ht="15" customHeight="1" x14ac:dyDescent="0.25">
      <c r="A10" s="1"/>
      <c r="B10" s="82" t="s">
        <v>272</v>
      </c>
      <c r="C10" s="9">
        <v>104076</v>
      </c>
      <c r="D10" s="14" t="s">
        <v>3</v>
      </c>
      <c r="E10" s="1"/>
      <c r="F10" s="1"/>
    </row>
    <row r="11" spans="1:6" ht="15" customHeight="1" x14ac:dyDescent="0.25">
      <c r="A11" s="1"/>
      <c r="B11" s="82" t="s">
        <v>273</v>
      </c>
      <c r="C11" s="9">
        <v>71805</v>
      </c>
      <c r="D11" s="14" t="s">
        <v>3</v>
      </c>
      <c r="E11" s="1"/>
      <c r="F11" s="1"/>
    </row>
    <row r="12" spans="1:6" x14ac:dyDescent="0.25">
      <c r="A12" s="1"/>
      <c r="B12" s="82" t="s">
        <v>274</v>
      </c>
      <c r="C12" s="9">
        <v>38665</v>
      </c>
      <c r="D12" s="14" t="s">
        <v>3</v>
      </c>
      <c r="E12" s="1"/>
      <c r="F12" s="1"/>
    </row>
    <row r="13" spans="1:6" x14ac:dyDescent="0.25">
      <c r="A13" s="1"/>
      <c r="B13" s="82" t="s">
        <v>275</v>
      </c>
      <c r="C13" s="9">
        <v>681763</v>
      </c>
      <c r="D13" s="14" t="s">
        <v>3</v>
      </c>
      <c r="E13" s="1"/>
      <c r="F13" s="1"/>
    </row>
    <row r="14" spans="1:6" x14ac:dyDescent="0.25">
      <c r="A14" s="1"/>
      <c r="B14" s="82"/>
      <c r="C14" s="9"/>
      <c r="D14" s="14" t="s">
        <v>3</v>
      </c>
      <c r="E14" s="1"/>
      <c r="F14" s="1"/>
    </row>
    <row r="15" spans="1:6" x14ac:dyDescent="0.25">
      <c r="A15" s="1"/>
      <c r="B15" s="82"/>
      <c r="C15" s="9"/>
      <c r="D15" s="14" t="s">
        <v>3</v>
      </c>
      <c r="E15" s="1"/>
      <c r="F15" s="1"/>
    </row>
    <row r="16" spans="1:6" x14ac:dyDescent="0.25">
      <c r="A16" s="1"/>
      <c r="B16" s="82"/>
      <c r="C16" s="9"/>
      <c r="D16" s="14" t="s">
        <v>3</v>
      </c>
      <c r="E16" s="1"/>
      <c r="F16" s="1"/>
    </row>
    <row r="17" spans="1:6" x14ac:dyDescent="0.25">
      <c r="A17" s="1"/>
      <c r="B17" s="82"/>
      <c r="C17" s="9"/>
      <c r="D17" s="14" t="s">
        <v>3</v>
      </c>
      <c r="E17" s="1"/>
      <c r="F17" s="1"/>
    </row>
    <row r="18" spans="1:6" x14ac:dyDescent="0.25">
      <c r="A18" s="1"/>
      <c r="B18" s="82"/>
      <c r="C18" s="9"/>
      <c r="D18" s="14" t="s">
        <v>3</v>
      </c>
      <c r="E18" s="1"/>
      <c r="F18" s="1"/>
    </row>
    <row r="19" spans="1:6" x14ac:dyDescent="0.25">
      <c r="A19" s="1"/>
      <c r="B19" s="82"/>
      <c r="C19" s="9"/>
      <c r="D19" s="14" t="s">
        <v>3</v>
      </c>
      <c r="E19" s="1"/>
      <c r="F19" s="1"/>
    </row>
    <row r="20" spans="1:6" x14ac:dyDescent="0.25">
      <c r="A20" s="1"/>
      <c r="B20" s="33" t="s">
        <v>226</v>
      </c>
      <c r="C20" s="12">
        <f>SUM(C10:C19)</f>
        <v>896309</v>
      </c>
      <c r="D20" s="13" t="s">
        <v>3</v>
      </c>
      <c r="E20" s="1"/>
      <c r="F20" s="1"/>
    </row>
    <row r="21" spans="1:6" x14ac:dyDescent="0.25">
      <c r="A21" s="1"/>
      <c r="B21" s="33" t="s">
        <v>227</v>
      </c>
      <c r="C21" s="12">
        <f>C20*(1+'Fane 15. Nøgletal'!C16)^2</f>
        <v>1047004.21318976</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15" t="s">
        <v>99</v>
      </c>
      <c r="C24" s="116"/>
      <c r="D24" s="117"/>
      <c r="E24" s="1"/>
      <c r="F24" s="1"/>
    </row>
    <row r="25" spans="1:6" x14ac:dyDescent="0.25">
      <c r="A25" s="1"/>
      <c r="B25" s="82" t="s">
        <v>109</v>
      </c>
      <c r="C25" s="9">
        <v>0</v>
      </c>
      <c r="D25" s="14" t="s">
        <v>3</v>
      </c>
      <c r="E25" s="1"/>
      <c r="F25" s="1"/>
    </row>
    <row r="26" spans="1:6" x14ac:dyDescent="0.25">
      <c r="A26" s="1"/>
      <c r="B26" s="82" t="s">
        <v>123</v>
      </c>
      <c r="C26" s="9">
        <v>0</v>
      </c>
      <c r="D26" s="14" t="s">
        <v>3</v>
      </c>
      <c r="E26" s="1"/>
      <c r="F26" s="1"/>
    </row>
    <row r="27" spans="1:6" x14ac:dyDescent="0.25">
      <c r="A27" s="1"/>
      <c r="B27" s="82" t="s">
        <v>142</v>
      </c>
      <c r="C27" s="9">
        <v>0</v>
      </c>
      <c r="D27" s="14" t="s">
        <v>3</v>
      </c>
      <c r="E27" s="1"/>
      <c r="F27" s="1"/>
    </row>
    <row r="28" spans="1:6" x14ac:dyDescent="0.25">
      <c r="A28" s="1"/>
      <c r="B28" s="34" t="s">
        <v>261</v>
      </c>
      <c r="C28" s="9">
        <v>0</v>
      </c>
      <c r="D28" s="38" t="s">
        <v>3</v>
      </c>
      <c r="E28" s="1"/>
      <c r="F28" s="1"/>
    </row>
    <row r="29" spans="1:6" x14ac:dyDescent="0.25">
      <c r="A29" s="1"/>
      <c r="B29" s="115"/>
      <c r="C29" s="116"/>
      <c r="D29" s="117"/>
      <c r="E29" s="1"/>
      <c r="F29" s="1"/>
    </row>
    <row r="30" spans="1:6" x14ac:dyDescent="0.25">
      <c r="A30" s="1"/>
      <c r="B30" s="1"/>
      <c r="C30" s="1"/>
      <c r="D30" s="1"/>
      <c r="E30" s="1"/>
      <c r="F30" s="1"/>
    </row>
    <row r="31" spans="1:6" x14ac:dyDescent="0.25">
      <c r="A31" s="1"/>
      <c r="B31" s="1"/>
      <c r="C31" s="1"/>
      <c r="D31" s="1"/>
      <c r="E31" s="1"/>
      <c r="F31" s="1"/>
    </row>
    <row r="32" spans="1:6" x14ac:dyDescent="0.25">
      <c r="A32" s="1"/>
      <c r="B32" s="115" t="s">
        <v>81</v>
      </c>
      <c r="C32" s="116"/>
      <c r="D32" s="117"/>
      <c r="E32" s="1"/>
      <c r="F32" s="1"/>
    </row>
    <row r="33" spans="1:6" x14ac:dyDescent="0.25">
      <c r="A33" s="1"/>
      <c r="B33" s="82" t="s">
        <v>109</v>
      </c>
      <c r="C33" s="9">
        <v>0</v>
      </c>
      <c r="D33" s="14" t="s">
        <v>3</v>
      </c>
      <c r="E33" s="1"/>
      <c r="F33" s="1"/>
    </row>
    <row r="34" spans="1:6" x14ac:dyDescent="0.25">
      <c r="A34" s="1"/>
      <c r="B34" s="82" t="s">
        <v>123</v>
      </c>
      <c r="C34" s="9">
        <v>0</v>
      </c>
      <c r="D34" s="14" t="s">
        <v>3</v>
      </c>
      <c r="E34" s="1"/>
      <c r="F34" s="1"/>
    </row>
    <row r="35" spans="1:6" x14ac:dyDescent="0.25">
      <c r="A35" s="1"/>
      <c r="B35" s="82" t="s">
        <v>142</v>
      </c>
      <c r="C35" s="9">
        <v>0</v>
      </c>
      <c r="D35" s="14" t="s">
        <v>3</v>
      </c>
      <c r="E35" s="1"/>
      <c r="F35" s="1"/>
    </row>
    <row r="36" spans="1:6" x14ac:dyDescent="0.25">
      <c r="A36" s="1"/>
      <c r="B36" s="34" t="s">
        <v>261</v>
      </c>
      <c r="C36" s="9">
        <v>0</v>
      </c>
      <c r="D36" s="38" t="s">
        <v>3</v>
      </c>
      <c r="E36" s="1"/>
      <c r="F36" s="1"/>
    </row>
    <row r="37" spans="1:6" x14ac:dyDescent="0.25">
      <c r="A37" s="1"/>
      <c r="B37" s="115"/>
      <c r="C37" s="116"/>
      <c r="D37" s="117"/>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row r="57" spans="1:6" x14ac:dyDescent="0.25">
      <c r="A57" s="48"/>
      <c r="B57" s="48"/>
      <c r="C57" s="48"/>
      <c r="D57" s="48"/>
      <c r="E57" s="48"/>
      <c r="F57" s="48"/>
    </row>
  </sheetData>
  <sheetProtection algorithmName="SHA-512" hashValue="YfQE+2GGtM51YHpdVt37Kr6NeiEGiap5bBEu+1QJ7btCpZWnQEcUAJ6TNt1A5y8tIjyqQETUPMEJs+poXpRRLg==" saltValue="WOfe0VTcDKNzSF9RBTnWTA=="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4FA1D-9818-46EB-93D1-1CF79AD624A8}">
  <dimension ref="A1:G51"/>
  <sheetViews>
    <sheetView showGridLines="0" view="pageLayout" zoomScale="70" zoomScaleNormal="100" zoomScalePageLayoutView="7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4" t="s">
        <v>206</v>
      </c>
      <c r="C3" s="114"/>
      <c r="D3" s="114"/>
      <c r="E3" s="114"/>
      <c r="F3" s="114"/>
      <c r="G3" s="1"/>
    </row>
    <row r="4" spans="1:7" ht="15" customHeight="1" x14ac:dyDescent="0.25">
      <c r="A4" s="1"/>
      <c r="B4" s="114"/>
      <c r="C4" s="114"/>
      <c r="D4" s="114"/>
      <c r="E4" s="114"/>
      <c r="F4" s="114"/>
      <c r="G4" s="1"/>
    </row>
    <row r="5" spans="1:7" ht="15" customHeight="1" x14ac:dyDescent="0.25">
      <c r="A5" s="1"/>
      <c r="B5" s="75"/>
      <c r="C5" s="75"/>
      <c r="D5" s="75"/>
      <c r="E5" s="75"/>
      <c r="F5" s="75"/>
      <c r="G5" s="1"/>
    </row>
    <row r="6" spans="1:7" ht="15" customHeight="1" x14ac:dyDescent="0.25">
      <c r="A6" s="1"/>
      <c r="B6" s="75"/>
      <c r="C6" s="75"/>
      <c r="D6" s="75"/>
      <c r="E6" s="75"/>
      <c r="F6" s="75"/>
      <c r="G6" s="1"/>
    </row>
    <row r="7" spans="1:7" ht="15" customHeight="1" x14ac:dyDescent="0.25">
      <c r="A7" s="1"/>
      <c r="B7" s="1"/>
      <c r="C7" s="1"/>
      <c r="D7" s="1"/>
      <c r="E7" s="1"/>
      <c r="F7" s="1"/>
      <c r="G7" s="1"/>
    </row>
    <row r="8" spans="1:7" ht="15" customHeight="1" x14ac:dyDescent="0.25">
      <c r="A8" s="1"/>
      <c r="B8" s="115" t="s">
        <v>137</v>
      </c>
      <c r="C8" s="116"/>
      <c r="D8" s="116"/>
      <c r="E8" s="116"/>
      <c r="F8" s="117"/>
      <c r="G8" s="1"/>
    </row>
    <row r="9" spans="1:7" ht="15" customHeight="1" x14ac:dyDescent="0.25">
      <c r="A9" s="1"/>
      <c r="B9" s="118" t="s">
        <v>279</v>
      </c>
      <c r="C9" s="119"/>
      <c r="D9" s="120"/>
      <c r="E9" s="9">
        <v>4492938</v>
      </c>
      <c r="F9" s="14" t="s">
        <v>3</v>
      </c>
      <c r="G9" s="1"/>
    </row>
    <row r="10" spans="1:7" ht="15" customHeight="1" x14ac:dyDescent="0.25">
      <c r="A10" s="1"/>
      <c r="B10" s="118" t="s">
        <v>143</v>
      </c>
      <c r="C10" s="119"/>
      <c r="D10" s="120"/>
      <c r="E10" s="9">
        <v>-7062799</v>
      </c>
      <c r="F10" s="14" t="s">
        <v>3</v>
      </c>
      <c r="G10" s="1"/>
    </row>
    <row r="11" spans="1:7" ht="15" customHeight="1" x14ac:dyDescent="0.25">
      <c r="A11" s="1"/>
      <c r="B11" s="118" t="s">
        <v>280</v>
      </c>
      <c r="C11" s="119"/>
      <c r="D11" s="120"/>
      <c r="E11" s="9">
        <v>650833</v>
      </c>
      <c r="F11" s="14" t="s">
        <v>3</v>
      </c>
      <c r="G11" s="1"/>
    </row>
    <row r="12" spans="1:7" x14ac:dyDescent="0.25">
      <c r="A12" s="1"/>
      <c r="B12" s="33"/>
      <c r="C12" s="28"/>
      <c r="D12" s="28"/>
      <c r="E12" s="28"/>
      <c r="F12" s="19"/>
      <c r="G12" s="1"/>
    </row>
    <row r="13" spans="1:7" ht="42" customHeight="1" x14ac:dyDescent="0.25">
      <c r="A13" s="1"/>
      <c r="B13" s="127" t="s">
        <v>281</v>
      </c>
      <c r="C13" s="128"/>
      <c r="D13" s="128"/>
      <c r="E13" s="128"/>
      <c r="F13" s="129"/>
      <c r="G13" s="1"/>
    </row>
    <row r="14" spans="1:7" ht="15" customHeight="1" x14ac:dyDescent="0.25">
      <c r="A14" s="1"/>
      <c r="B14" s="1"/>
      <c r="C14" s="1"/>
      <c r="D14" s="1"/>
      <c r="E14" s="1"/>
      <c r="F14" s="1"/>
      <c r="G14" s="1"/>
    </row>
    <row r="15" spans="1:7" x14ac:dyDescent="0.25">
      <c r="A15" s="1"/>
      <c r="B15" s="76" t="s">
        <v>282</v>
      </c>
      <c r="C15" s="77"/>
      <c r="D15" s="77"/>
      <c r="E15" s="77"/>
      <c r="F15" s="78"/>
      <c r="G15" s="1"/>
    </row>
    <row r="16" spans="1:7" x14ac:dyDescent="0.25">
      <c r="A16" s="1"/>
      <c r="B16" s="79" t="s">
        <v>283</v>
      </c>
      <c r="C16" s="80"/>
      <c r="D16" s="81"/>
      <c r="E16" s="9">
        <f>IF(E11&lt;0,E11,0)</f>
        <v>0</v>
      </c>
      <c r="F16" s="14" t="s">
        <v>3</v>
      </c>
      <c r="G16" s="1"/>
    </row>
    <row r="17" spans="1:7" x14ac:dyDescent="0.25">
      <c r="A17" s="1"/>
      <c r="B17" s="79" t="s">
        <v>284</v>
      </c>
      <c r="C17" s="80"/>
      <c r="D17" s="81"/>
      <c r="E17" s="9">
        <f>IF(SUM(E10)&gt;0,SUM(E10),0)</f>
        <v>0</v>
      </c>
      <c r="F17" s="14" t="s">
        <v>3</v>
      </c>
      <c r="G17" s="1"/>
    </row>
    <row r="18" spans="1:7" x14ac:dyDescent="0.25">
      <c r="A18" s="1"/>
      <c r="B18" s="83" t="s">
        <v>285</v>
      </c>
      <c r="C18" s="84"/>
      <c r="D18" s="85"/>
      <c r="E18" s="62">
        <f>IF(SUM(E16:E17)&gt;0,0,SUM(E16:E17))</f>
        <v>0</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6" t="s">
        <v>286</v>
      </c>
      <c r="C21" s="77"/>
      <c r="D21" s="77"/>
      <c r="E21" s="77"/>
      <c r="F21" s="78"/>
      <c r="G21" s="1"/>
    </row>
    <row r="22" spans="1:7" x14ac:dyDescent="0.25">
      <c r="A22" s="1"/>
      <c r="B22" s="79" t="s">
        <v>287</v>
      </c>
      <c r="C22" s="80"/>
      <c r="D22" s="81"/>
      <c r="E22" s="9">
        <v>69345281</v>
      </c>
      <c r="F22" s="14" t="s">
        <v>3</v>
      </c>
      <c r="G22" s="1"/>
    </row>
    <row r="23" spans="1:7" x14ac:dyDescent="0.25">
      <c r="A23" s="1"/>
      <c r="B23" s="79" t="s">
        <v>288</v>
      </c>
      <c r="C23" s="80"/>
      <c r="D23" s="81"/>
      <c r="E23" s="9">
        <v>69413379</v>
      </c>
      <c r="F23" s="14" t="s">
        <v>3</v>
      </c>
      <c r="G23" s="1"/>
    </row>
    <row r="24" spans="1:7" x14ac:dyDescent="0.25">
      <c r="A24" s="1"/>
      <c r="B24" s="79" t="s">
        <v>30</v>
      </c>
      <c r="C24" s="80"/>
      <c r="D24" s="81"/>
      <c r="E24" s="9"/>
      <c r="F24" s="14" t="s">
        <v>3</v>
      </c>
      <c r="G24" s="1"/>
    </row>
    <row r="25" spans="1:7" x14ac:dyDescent="0.25">
      <c r="A25" s="1"/>
      <c r="B25" s="83" t="s">
        <v>289</v>
      </c>
      <c r="C25" s="84"/>
      <c r="D25" s="85"/>
      <c r="E25" s="62">
        <f>E22-E23-E24</f>
        <v>-68098</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5" t="s">
        <v>290</v>
      </c>
      <c r="C28" s="116"/>
      <c r="D28" s="116"/>
      <c r="E28" s="116"/>
      <c r="F28" s="117"/>
      <c r="G28" s="1"/>
    </row>
    <row r="29" spans="1:7" x14ac:dyDescent="0.25">
      <c r="A29" s="1"/>
      <c r="B29" s="133" t="s">
        <v>116</v>
      </c>
      <c r="C29" s="134"/>
      <c r="D29" s="135"/>
      <c r="E29" s="9">
        <f>IF(E18&lt;0,IF(E25&lt;0,SUM(E18,E25),IF(E10&gt;0,SUM(E10:E11),E18)),IF(AND(E25&lt;0,SUM(E25,E11)&lt;0),IF(E11&lt;0,E25,IF(SUM(E10:E11)&gt;0,SUM(E25,E11),IF(AND(E25&lt;0,E18=0,E11&gt;0),IF(SUM(E9:E11)&gt;0,E25+E11,E25)))),0))</f>
        <v>0</v>
      </c>
      <c r="F29" s="14" t="s">
        <v>3</v>
      </c>
      <c r="G29" s="1"/>
    </row>
    <row r="30" spans="1:7" x14ac:dyDescent="0.25">
      <c r="A30" s="1"/>
      <c r="B30" s="133" t="s">
        <v>84</v>
      </c>
      <c r="C30" s="134"/>
      <c r="D30" s="135"/>
      <c r="E30" s="9">
        <v>2</v>
      </c>
      <c r="F30" s="14" t="s">
        <v>20</v>
      </c>
      <c r="G30" s="1"/>
    </row>
    <row r="31" spans="1:7" x14ac:dyDescent="0.25">
      <c r="A31" s="1"/>
      <c r="B31" s="136" t="s">
        <v>117</v>
      </c>
      <c r="C31" s="137"/>
      <c r="D31" s="138"/>
      <c r="E31" s="10">
        <f>E29/E30</f>
        <v>0</v>
      </c>
      <c r="F31" s="17" t="s">
        <v>3</v>
      </c>
      <c r="G31" s="1"/>
    </row>
    <row r="32" spans="1:7" x14ac:dyDescent="0.25">
      <c r="A32" s="1"/>
      <c r="B32" s="139"/>
      <c r="C32" s="140"/>
      <c r="D32" s="140"/>
      <c r="E32" s="140"/>
      <c r="F32" s="14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ZyRrJivacGuTHnxRkWK5vtaUohyVYvhTrIdp0OlwG2sL9WEBvA/HR21FPGSBrRWZly9IayczUMTNzFkXyLnThw==" saltValue="ZBT/uXXPhFdxtBEVuEG0UA==" spinCount="100000" sheet="1" objects="1" scenarios="1"/>
  <mergeCells count="11">
    <mergeCell ref="B13:F13"/>
    <mergeCell ref="B3:F4"/>
    <mergeCell ref="B8:F8"/>
    <mergeCell ref="B9:D9"/>
    <mergeCell ref="B10:D10"/>
    <mergeCell ref="B11:D11"/>
    <mergeCell ref="B28:F28"/>
    <mergeCell ref="B29:D29"/>
    <mergeCell ref="B30:D30"/>
    <mergeCell ref="B31:D31"/>
    <mergeCell ref="B32:F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1" t="s">
        <v>170</v>
      </c>
      <c r="C3" s="111"/>
      <c r="D3" s="111"/>
      <c r="E3" s="111"/>
      <c r="F3" s="111"/>
      <c r="G3" s="111"/>
      <c r="H3" s="111"/>
      <c r="I3" s="1"/>
    </row>
    <row r="4" spans="1:9" ht="15" customHeight="1" x14ac:dyDescent="0.25">
      <c r="A4" s="1"/>
      <c r="B4" s="111"/>
      <c r="C4" s="111"/>
      <c r="D4" s="111"/>
      <c r="E4" s="111"/>
      <c r="F4" s="111"/>
      <c r="G4" s="111"/>
      <c r="H4" s="11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5" t="s">
        <v>189</v>
      </c>
      <c r="C8" s="116"/>
      <c r="D8" s="116"/>
      <c r="E8" s="116"/>
      <c r="F8" s="116"/>
      <c r="G8" s="116"/>
      <c r="H8" s="117"/>
      <c r="I8" s="1"/>
    </row>
    <row r="9" spans="1:9" ht="15" customHeight="1" x14ac:dyDescent="0.25">
      <c r="A9" s="1"/>
      <c r="B9" s="145" t="s">
        <v>171</v>
      </c>
      <c r="C9" s="146"/>
      <c r="D9" s="146"/>
      <c r="E9" s="146"/>
      <c r="F9" s="146"/>
      <c r="G9" s="146"/>
      <c r="H9" s="147"/>
      <c r="I9" s="1"/>
    </row>
    <row r="10" spans="1:9" x14ac:dyDescent="0.25">
      <c r="A10" s="1"/>
      <c r="B10" s="142" t="s">
        <v>172</v>
      </c>
      <c r="C10" s="143"/>
      <c r="D10" s="143"/>
      <c r="E10" s="143"/>
      <c r="F10" s="144"/>
      <c r="G10" s="9">
        <v>-3448196.6666666665</v>
      </c>
      <c r="H10" s="9" t="s">
        <v>3</v>
      </c>
      <c r="I10" s="1"/>
    </row>
    <row r="11" spans="1:9" x14ac:dyDescent="0.25">
      <c r="A11" s="1"/>
      <c r="B11" s="142" t="s">
        <v>173</v>
      </c>
      <c r="C11" s="143"/>
      <c r="D11" s="143"/>
      <c r="E11" s="143"/>
      <c r="F11" s="144"/>
      <c r="G11" s="9">
        <v>-3448196.6666666665</v>
      </c>
      <c r="H11" s="9" t="s">
        <v>3</v>
      </c>
      <c r="I11" s="1"/>
    </row>
    <row r="12" spans="1:9" x14ac:dyDescent="0.25">
      <c r="A12" s="1"/>
      <c r="B12" s="142" t="s">
        <v>174</v>
      </c>
      <c r="C12" s="143"/>
      <c r="D12" s="143"/>
      <c r="E12" s="143"/>
      <c r="F12" s="144"/>
      <c r="G12" s="9">
        <v>-3448196.6666666665</v>
      </c>
      <c r="H12" s="9" t="s">
        <v>3</v>
      </c>
      <c r="I12" s="1"/>
    </row>
    <row r="13" spans="1:9" x14ac:dyDescent="0.25">
      <c r="A13" s="1"/>
      <c r="B13" s="142" t="s">
        <v>175</v>
      </c>
      <c r="C13" s="143"/>
      <c r="D13" s="143"/>
      <c r="E13" s="143"/>
      <c r="F13" s="144"/>
      <c r="G13" s="9">
        <v>-3448196.6666666665</v>
      </c>
      <c r="H13" s="9" t="s">
        <v>3</v>
      </c>
      <c r="I13" s="1"/>
    </row>
    <row r="14" spans="1:9" x14ac:dyDescent="0.25">
      <c r="A14" s="1"/>
      <c r="B14" s="142" t="s">
        <v>176</v>
      </c>
      <c r="C14" s="143"/>
      <c r="D14" s="143"/>
      <c r="E14" s="143"/>
      <c r="F14" s="144"/>
      <c r="G14" s="9">
        <v>-3448196.6666666665</v>
      </c>
      <c r="H14" s="9" t="s">
        <v>3</v>
      </c>
      <c r="I14" s="1"/>
    </row>
    <row r="15" spans="1:9" x14ac:dyDescent="0.25">
      <c r="A15" s="1"/>
      <c r="B15" s="142" t="s">
        <v>177</v>
      </c>
      <c r="C15" s="143"/>
      <c r="D15" s="143"/>
      <c r="E15" s="143"/>
      <c r="F15" s="144"/>
      <c r="G15" s="9">
        <v>-3448196.6666666665</v>
      </c>
      <c r="H15" s="9" t="s">
        <v>3</v>
      </c>
      <c r="I15" s="1"/>
    </row>
    <row r="16" spans="1:9" x14ac:dyDescent="0.25">
      <c r="A16" s="1"/>
      <c r="B16" s="142" t="s">
        <v>178</v>
      </c>
      <c r="C16" s="143"/>
      <c r="D16" s="143"/>
      <c r="E16" s="143"/>
      <c r="F16" s="144"/>
      <c r="G16" s="9">
        <v>0</v>
      </c>
      <c r="H16" s="9" t="s">
        <v>3</v>
      </c>
      <c r="I16" s="1"/>
    </row>
    <row r="17" spans="1:9" x14ac:dyDescent="0.25">
      <c r="A17" s="1"/>
      <c r="B17" s="142" t="s">
        <v>179</v>
      </c>
      <c r="C17" s="143"/>
      <c r="D17" s="143"/>
      <c r="E17" s="143"/>
      <c r="F17" s="144"/>
      <c r="G17" s="9">
        <v>0</v>
      </c>
      <c r="H17" s="9" t="s">
        <v>3</v>
      </c>
      <c r="I17" s="1"/>
    </row>
    <row r="18" spans="1:9" x14ac:dyDescent="0.25">
      <c r="A18" s="1"/>
      <c r="B18" s="115" t="s">
        <v>180</v>
      </c>
      <c r="C18" s="116"/>
      <c r="D18" s="116"/>
      <c r="E18" s="116"/>
      <c r="F18" s="117"/>
      <c r="G18" s="12">
        <f>SUM(G10:G17)</f>
        <v>-20689180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h6dlOtrWQIN84PJA/IClzm3ae03NGNubEobWjOjtETo5RX7b0asmjguEonT0hG2iOviEE+HyPvawXXMa6Eq20w==" saltValue="M98CpRvEFWyiEihOxZM2jw==" spinCount="100000" sheet="1" objects="1" scenarios="1"/>
  <mergeCells count="12">
    <mergeCell ref="B18:F18"/>
    <mergeCell ref="B13:F13"/>
    <mergeCell ref="B14:F14"/>
    <mergeCell ref="B15:F15"/>
    <mergeCell ref="B16:F16"/>
    <mergeCell ref="B17:F17"/>
    <mergeCell ref="B12:F12"/>
    <mergeCell ref="B9:H9"/>
    <mergeCell ref="B3:H4"/>
    <mergeCell ref="B8:H8"/>
    <mergeCell ref="B10:F10"/>
    <mergeCell ref="B11:F11"/>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55" zoomScaleNormal="100" zoomScalePageLayoutView="55"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4" t="s">
        <v>207</v>
      </c>
      <c r="C3" s="114"/>
      <c r="D3" s="114"/>
      <c r="E3" s="114"/>
      <c r="F3" s="114"/>
      <c r="G3" s="1"/>
    </row>
    <row r="4" spans="1:7" ht="1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5" t="s">
        <v>228</v>
      </c>
      <c r="C9" s="116"/>
      <c r="D9" s="116"/>
      <c r="E9" s="116"/>
      <c r="F9" s="117"/>
      <c r="G9" s="1"/>
    </row>
    <row r="10" spans="1:7" x14ac:dyDescent="0.25">
      <c r="A10" s="1"/>
      <c r="B10" s="127" t="s">
        <v>82</v>
      </c>
      <c r="C10" s="128"/>
      <c r="D10" s="129"/>
      <c r="E10" s="7">
        <v>0</v>
      </c>
      <c r="F10" s="8" t="s">
        <v>3</v>
      </c>
      <c r="G10" s="1"/>
    </row>
    <row r="11" spans="1:7" x14ac:dyDescent="0.25">
      <c r="A11" s="1"/>
      <c r="B11" s="118" t="s">
        <v>229</v>
      </c>
      <c r="C11" s="119"/>
      <c r="D11" s="120"/>
      <c r="E11" s="7">
        <v>0</v>
      </c>
      <c r="F11" s="8" t="s">
        <v>3</v>
      </c>
      <c r="G11" s="1"/>
    </row>
    <row r="12" spans="1:7" x14ac:dyDescent="0.25">
      <c r="A12" s="1"/>
      <c r="B12" s="136" t="s">
        <v>83</v>
      </c>
      <c r="C12" s="137"/>
      <c r="D12" s="138"/>
      <c r="E12" s="10">
        <f>E11-E10</f>
        <v>0</v>
      </c>
      <c r="F12" s="11" t="s">
        <v>3</v>
      </c>
      <c r="G12" s="1"/>
    </row>
    <row r="13" spans="1:7" x14ac:dyDescent="0.25">
      <c r="A13" s="1"/>
      <c r="B13" s="115" t="s">
        <v>78</v>
      </c>
      <c r="C13" s="116"/>
      <c r="D13" s="116"/>
      <c r="E13" s="116"/>
      <c r="F13" s="117"/>
      <c r="G13" s="1"/>
    </row>
    <row r="14" spans="1:7" x14ac:dyDescent="0.25">
      <c r="A14" s="1"/>
      <c r="B14" s="118" t="s">
        <v>230</v>
      </c>
      <c r="C14" s="119"/>
      <c r="D14" s="120"/>
      <c r="E14" s="7">
        <v>0</v>
      </c>
      <c r="F14" s="8" t="s">
        <v>3</v>
      </c>
      <c r="G14" s="1"/>
    </row>
    <row r="15" spans="1:7" x14ac:dyDescent="0.25">
      <c r="A15" s="1"/>
      <c r="B15" s="127" t="s">
        <v>231</v>
      </c>
      <c r="C15" s="128"/>
      <c r="D15" s="129"/>
      <c r="E15" s="7">
        <v>0</v>
      </c>
      <c r="F15" s="8" t="s">
        <v>3</v>
      </c>
      <c r="G15" s="1"/>
    </row>
    <row r="16" spans="1:7" x14ac:dyDescent="0.25">
      <c r="A16" s="1"/>
      <c r="B16" s="136" t="s">
        <v>83</v>
      </c>
      <c r="C16" s="137"/>
      <c r="D16" s="138"/>
      <c r="E16" s="10">
        <f>E15-E14</f>
        <v>0</v>
      </c>
      <c r="F16" s="11" t="s">
        <v>3</v>
      </c>
      <c r="G16" s="1"/>
    </row>
    <row r="17" spans="1:7" x14ac:dyDescent="0.25">
      <c r="A17" s="1"/>
      <c r="B17" s="33" t="s">
        <v>232</v>
      </c>
      <c r="C17" s="28"/>
      <c r="D17" s="28"/>
      <c r="E17" s="12">
        <f>E12+E16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UTXKQXUUgms/52P+l652PozZkQoC5rmksyy+od7sKRrgV1S7fQr+rLF4uIb+nJOp9MtgdLL7zTogkxc+PFkgSQ==" saltValue="AXBABbwGnIrtBL9Dqr/0h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85" zoomScaleNormal="100" zoomScalePageLayoutView="85"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1" t="s">
        <v>182</v>
      </c>
      <c r="C3" s="111"/>
      <c r="D3" s="111"/>
      <c r="E3" s="111"/>
      <c r="F3" s="111"/>
      <c r="G3" s="111"/>
      <c r="H3" s="111"/>
      <c r="I3" s="111"/>
      <c r="J3" s="111"/>
      <c r="K3" s="111"/>
      <c r="L3" s="1"/>
    </row>
    <row r="4" spans="1:12" ht="15" customHeight="1" x14ac:dyDescent="0.25">
      <c r="A4" s="1"/>
      <c r="B4" s="111"/>
      <c r="C4" s="111"/>
      <c r="D4" s="111"/>
      <c r="E4" s="111"/>
      <c r="F4" s="111"/>
      <c r="G4" s="111"/>
      <c r="H4" s="111"/>
      <c r="I4" s="111"/>
      <c r="J4" s="111"/>
      <c r="K4" s="11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5" t="s">
        <v>149</v>
      </c>
      <c r="C8" s="116"/>
      <c r="D8" s="116"/>
      <c r="E8" s="116"/>
      <c r="F8" s="116"/>
      <c r="G8" s="116"/>
      <c r="H8" s="116"/>
      <c r="I8" s="116"/>
      <c r="J8" s="116"/>
      <c r="K8" s="117"/>
      <c r="L8" s="1"/>
    </row>
    <row r="9" spans="1:12" ht="39.75" customHeight="1" x14ac:dyDescent="0.25">
      <c r="A9" s="1"/>
      <c r="B9" s="18" t="s">
        <v>0</v>
      </c>
      <c r="C9" s="18" t="s">
        <v>1</v>
      </c>
      <c r="D9" s="148" t="s">
        <v>165</v>
      </c>
      <c r="E9" s="149"/>
      <c r="F9" s="148" t="s">
        <v>2</v>
      </c>
      <c r="G9" s="149"/>
      <c r="H9" s="148" t="s">
        <v>164</v>
      </c>
      <c r="I9" s="149"/>
      <c r="J9" s="148" t="s">
        <v>27</v>
      </c>
      <c r="K9" s="149"/>
      <c r="L9" s="1"/>
    </row>
    <row r="10" spans="1:12" x14ac:dyDescent="0.25">
      <c r="A10" s="1"/>
      <c r="B10" s="86" t="s">
        <v>265</v>
      </c>
      <c r="C10" s="45">
        <v>0</v>
      </c>
      <c r="D10" s="9">
        <v>0</v>
      </c>
      <c r="E10" s="14" t="s">
        <v>3</v>
      </c>
      <c r="F10" s="9">
        <f>IFERROR(D10/C10,0)</f>
        <v>0</v>
      </c>
      <c r="G10" s="14" t="s">
        <v>3</v>
      </c>
      <c r="H10" s="41">
        <v>0</v>
      </c>
      <c r="I10" s="14" t="s">
        <v>3</v>
      </c>
      <c r="J10" s="41">
        <v>0</v>
      </c>
      <c r="K10" s="14" t="s">
        <v>3</v>
      </c>
      <c r="L10" s="1"/>
    </row>
    <row r="11" spans="1:12" x14ac:dyDescent="0.25">
      <c r="A11" s="1"/>
      <c r="B11" s="76" t="s">
        <v>150</v>
      </c>
      <c r="C11" s="77"/>
      <c r="D11" s="78"/>
      <c r="E11" s="78"/>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wca+7F3aBa6hPKcrOfM8ZPRxYlXlACQwh2BzKZfNEJfchXsUQrpD4iuUvUiHkkKf6c2eyAe2pkkzypU1QfgDew==" saltValue="M+cvYlP2TbhX0eb1m+0Gg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55" zoomScaleNormal="100" zoomScalePageLayoutView="55"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183</v>
      </c>
      <c r="C3" s="111"/>
      <c r="D3" s="111"/>
      <c r="E3" s="111"/>
      <c r="F3" s="111"/>
      <c r="G3" s="1"/>
    </row>
    <row r="4" spans="1:7" ht="15" customHeight="1" x14ac:dyDescent="0.25">
      <c r="A4" s="1"/>
      <c r="B4" s="111"/>
      <c r="C4" s="111"/>
      <c r="D4" s="111"/>
      <c r="E4" s="111"/>
      <c r="F4" s="11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7" t="s">
        <v>17</v>
      </c>
      <c r="C9" s="87" t="s">
        <v>11</v>
      </c>
      <c r="D9" s="88"/>
      <c r="E9" s="87"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276</v>
      </c>
      <c r="C11" s="21">
        <v>48128</v>
      </c>
      <c r="D11" s="14" t="s">
        <v>3</v>
      </c>
      <c r="E11" s="9">
        <v>315973</v>
      </c>
      <c r="F11" s="14" t="s">
        <v>3</v>
      </c>
      <c r="G11" s="1"/>
    </row>
    <row r="12" spans="1:7" x14ac:dyDescent="0.25">
      <c r="A12" s="1"/>
      <c r="B12" s="24" t="s">
        <v>277</v>
      </c>
      <c r="C12" s="21">
        <v>110982</v>
      </c>
      <c r="D12" s="14" t="s">
        <v>3</v>
      </c>
      <c r="E12" s="9">
        <v>224762</v>
      </c>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159110</v>
      </c>
      <c r="D19" s="13" t="s">
        <v>3</v>
      </c>
      <c r="E19" s="12">
        <f>SUM(E10:E18)</f>
        <v>540735</v>
      </c>
      <c r="F19" s="13" t="s">
        <v>3</v>
      </c>
      <c r="G19" s="1"/>
    </row>
    <row r="20" spans="1:7" x14ac:dyDescent="0.25">
      <c r="A20" s="1"/>
      <c r="B20" s="33" t="s">
        <v>233</v>
      </c>
      <c r="C20" s="12">
        <f>C19*(1+'Fane 15. Nøgletal'!C16)</f>
        <v>171966.08799999999</v>
      </c>
      <c r="D20" s="13" t="s">
        <v>3</v>
      </c>
      <c r="E20" s="12">
        <f>E19*(1+'Fane 15. Nøgletal'!C16)</f>
        <v>584426.38800000004</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KgBAl6bK+8/TmB42mfuyY3/dlU+c22djfHdE76FugZbJVR79d0fyGN7qBBVPpCqXNDcrKp1ZOVol4LglvlkjSQ==" saltValue="TqojuRIJC9yZcAg27iiIW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40" zoomScaleNormal="100" zoomScalePageLayoutView="4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184</v>
      </c>
      <c r="C3" s="111"/>
      <c r="D3" s="111"/>
      <c r="E3" s="111"/>
      <c r="F3" s="111"/>
      <c r="G3" s="1"/>
    </row>
    <row r="4" spans="1:7" ht="15" customHeight="1" x14ac:dyDescent="0.25">
      <c r="A4" s="1"/>
      <c r="B4" s="111"/>
      <c r="C4" s="111"/>
      <c r="D4" s="111"/>
      <c r="E4" s="111"/>
      <c r="F4" s="11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5" t="s">
        <v>260</v>
      </c>
      <c r="C8" s="116"/>
      <c r="D8" s="116"/>
      <c r="E8" s="116"/>
      <c r="F8" s="117"/>
      <c r="G8" s="1"/>
    </row>
    <row r="9" spans="1:7" x14ac:dyDescent="0.25">
      <c r="A9" s="1"/>
      <c r="B9" s="87" t="s">
        <v>17</v>
      </c>
      <c r="C9" s="87" t="s">
        <v>11</v>
      </c>
      <c r="D9" s="88"/>
      <c r="E9" s="87" t="s">
        <v>28</v>
      </c>
      <c r="F9" s="32"/>
      <c r="G9" s="1"/>
    </row>
    <row r="10" spans="1:7" x14ac:dyDescent="0.25">
      <c r="A10" s="1"/>
      <c r="B10" s="24" t="s">
        <v>278</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234</v>
      </c>
      <c r="C13" s="12">
        <f>SUM(C10:C12)</f>
        <v>0</v>
      </c>
      <c r="D13" s="13" t="s">
        <v>3</v>
      </c>
      <c r="E13" s="12">
        <f>SUM(E10:E12)</f>
        <v>0</v>
      </c>
      <c r="F13" s="13" t="s">
        <v>3</v>
      </c>
      <c r="G13" s="1"/>
    </row>
    <row r="14" spans="1:7" x14ac:dyDescent="0.25">
      <c r="A14" s="1"/>
      <c r="B14" s="33" t="s">
        <v>235</v>
      </c>
      <c r="C14" s="12">
        <f>C13*(1+'Fane 15. Nøgletal'!C16)^2</f>
        <v>0</v>
      </c>
      <c r="D14" s="13" t="s">
        <v>3</v>
      </c>
      <c r="E14" s="12">
        <f>E13*(1+'Fane 15. Nøgletal'!C16)^2</f>
        <v>0</v>
      </c>
      <c r="F14" s="13" t="s">
        <v>3</v>
      </c>
      <c r="G14" s="1"/>
    </row>
    <row r="15" spans="1:7" x14ac:dyDescent="0.25">
      <c r="A15" s="1"/>
      <c r="B15" s="1"/>
      <c r="C15" s="1"/>
      <c r="D15" s="1"/>
      <c r="E15" s="1"/>
      <c r="F15" s="1"/>
      <c r="G15" s="1"/>
    </row>
    <row r="16" spans="1:7" x14ac:dyDescent="0.25">
      <c r="A16" s="1"/>
      <c r="B16" s="150"/>
      <c r="C16" s="150"/>
      <c r="D16" s="150"/>
      <c r="E16" s="150"/>
      <c r="F16" s="150"/>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50"/>
      <c r="C23" s="150"/>
      <c r="D23" s="150"/>
      <c r="E23" s="150"/>
      <c r="F23" s="150"/>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50"/>
      <c r="C30" s="150"/>
      <c r="D30" s="150"/>
      <c r="E30" s="150"/>
      <c r="F30" s="150"/>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2EccCKHmN6L12KSebsp7LReH976RbkPLxA3STOcIKqK8+eH8pMoDStDec/6oTIUZamHXQXcF3/qUDVl6eiEjRA==" saltValue="lzVNNRPzwiW/jiOf7zJ/4g=="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185</v>
      </c>
      <c r="C3" s="114"/>
      <c r="D3" s="114"/>
      <c r="E3" s="114"/>
      <c r="F3" s="114"/>
      <c r="G3" s="1"/>
    </row>
    <row r="4" spans="1:7" ht="15" customHeight="1" x14ac:dyDescent="0.25">
      <c r="A4" s="1"/>
      <c r="B4" s="114"/>
      <c r="C4" s="114"/>
      <c r="D4" s="114"/>
      <c r="E4" s="114"/>
      <c r="F4" s="114"/>
      <c r="G4" s="1"/>
    </row>
    <row r="5" spans="1:7" x14ac:dyDescent="0.25">
      <c r="A5" s="1"/>
      <c r="B5" s="114"/>
      <c r="C5" s="114"/>
      <c r="D5" s="114"/>
      <c r="E5" s="114"/>
      <c r="F5" s="114"/>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5" t="s">
        <v>110</v>
      </c>
      <c r="C9" s="116"/>
      <c r="D9" s="116"/>
      <c r="E9" s="116"/>
      <c r="F9" s="117"/>
      <c r="G9" s="1"/>
    </row>
    <row r="10" spans="1:7" x14ac:dyDescent="0.25">
      <c r="A10" s="1"/>
      <c r="B10" s="142" t="s">
        <v>236</v>
      </c>
      <c r="C10" s="143"/>
      <c r="D10" s="144"/>
      <c r="E10" s="9">
        <v>0</v>
      </c>
      <c r="F10" s="14" t="s">
        <v>3</v>
      </c>
      <c r="G10" s="1"/>
    </row>
    <row r="11" spans="1:7" x14ac:dyDescent="0.25">
      <c r="A11" s="1"/>
      <c r="B11" s="151" t="s">
        <v>10</v>
      </c>
      <c r="C11" s="152"/>
      <c r="D11" s="153"/>
      <c r="E11" s="9">
        <f>-E10*'Fane 5. Individuelt eff. krav'!G9</f>
        <v>0</v>
      </c>
      <c r="F11" s="14" t="s">
        <v>3</v>
      </c>
      <c r="G11" s="1"/>
    </row>
    <row r="12" spans="1:7" x14ac:dyDescent="0.25">
      <c r="A12" s="1"/>
      <c r="B12" s="151" t="s">
        <v>23</v>
      </c>
      <c r="C12" s="152"/>
      <c r="D12" s="153"/>
      <c r="E12" s="9">
        <f>-E10*'Fane 15. Nøgletal'!C33</f>
        <v>0</v>
      </c>
      <c r="F12" s="14" t="s">
        <v>3</v>
      </c>
      <c r="G12" s="1"/>
    </row>
    <row r="13" spans="1:7" x14ac:dyDescent="0.25">
      <c r="A13" s="1"/>
      <c r="B13" s="115" t="s">
        <v>111</v>
      </c>
      <c r="C13" s="116"/>
      <c r="D13" s="117"/>
      <c r="E13" s="12">
        <f>SUM(E10:E12)*(1+'Fane 15. Nøgletal'!C16)^2</f>
        <v>0</v>
      </c>
      <c r="F13" s="13" t="s">
        <v>3</v>
      </c>
      <c r="G13" s="1"/>
    </row>
    <row r="14" spans="1:7" x14ac:dyDescent="0.25">
      <c r="A14" s="1"/>
      <c r="B14" s="1"/>
      <c r="C14" s="1"/>
      <c r="D14" s="1"/>
      <c r="E14" s="1"/>
      <c r="F14" s="1"/>
      <c r="G14" s="1"/>
    </row>
    <row r="15" spans="1:7" ht="15" customHeight="1" x14ac:dyDescent="0.25">
      <c r="A15" s="1"/>
      <c r="B15" s="115" t="s">
        <v>124</v>
      </c>
      <c r="C15" s="116"/>
      <c r="D15" s="116"/>
      <c r="E15" s="116"/>
      <c r="F15" s="117"/>
      <c r="G15" s="1"/>
    </row>
    <row r="16" spans="1:7" x14ac:dyDescent="0.25">
      <c r="A16" s="1"/>
      <c r="B16" s="142" t="s">
        <v>236</v>
      </c>
      <c r="C16" s="143"/>
      <c r="D16" s="144"/>
      <c r="E16" s="9">
        <v>0</v>
      </c>
      <c r="F16" s="14" t="s">
        <v>3</v>
      </c>
      <c r="G16" s="1"/>
    </row>
    <row r="17" spans="1:7" x14ac:dyDescent="0.25">
      <c r="A17" s="1"/>
      <c r="B17" s="151" t="s">
        <v>10</v>
      </c>
      <c r="C17" s="152"/>
      <c r="D17" s="153"/>
      <c r="E17" s="9">
        <f>-E16*'Fane 5. Individuelt eff. krav'!G9</f>
        <v>0</v>
      </c>
      <c r="F17" s="14" t="s">
        <v>3</v>
      </c>
      <c r="G17" s="1"/>
    </row>
    <row r="18" spans="1:7" x14ac:dyDescent="0.25">
      <c r="A18" s="1"/>
      <c r="B18" s="151" t="s">
        <v>23</v>
      </c>
      <c r="C18" s="152"/>
      <c r="D18" s="153"/>
      <c r="E18" s="9">
        <f>-E16*'Fane 15. Nøgletal'!C33</f>
        <v>0</v>
      </c>
      <c r="F18" s="14" t="s">
        <v>3</v>
      </c>
      <c r="G18" s="1"/>
    </row>
    <row r="19" spans="1:7" x14ac:dyDescent="0.25">
      <c r="A19" s="1"/>
      <c r="B19" s="115" t="s">
        <v>125</v>
      </c>
      <c r="C19" s="116"/>
      <c r="D19" s="117"/>
      <c r="E19" s="12">
        <f>SUM(E16:E18)*(1+'Fane 15. Nøgletal'!C16)^3</f>
        <v>0</v>
      </c>
      <c r="F19" s="13" t="s">
        <v>3</v>
      </c>
      <c r="G19" s="1"/>
    </row>
    <row r="20" spans="1:7" x14ac:dyDescent="0.25">
      <c r="A20" s="1"/>
      <c r="B20" s="1"/>
      <c r="C20" s="1"/>
      <c r="D20" s="1"/>
      <c r="E20" s="1"/>
      <c r="F20" s="1"/>
      <c r="G20" s="1"/>
    </row>
    <row r="21" spans="1:7" ht="15" customHeight="1" x14ac:dyDescent="0.25">
      <c r="A21" s="1"/>
      <c r="B21" s="115" t="s">
        <v>145</v>
      </c>
      <c r="C21" s="116"/>
      <c r="D21" s="116"/>
      <c r="E21" s="116"/>
      <c r="F21" s="117"/>
      <c r="G21" s="1"/>
    </row>
    <row r="22" spans="1:7" x14ac:dyDescent="0.25">
      <c r="A22" s="1"/>
      <c r="B22" s="142" t="s">
        <v>236</v>
      </c>
      <c r="C22" s="143"/>
      <c r="D22" s="144"/>
      <c r="E22" s="9">
        <v>0</v>
      </c>
      <c r="F22" s="14" t="s">
        <v>3</v>
      </c>
      <c r="G22" s="1"/>
    </row>
    <row r="23" spans="1:7" x14ac:dyDescent="0.25">
      <c r="A23" s="1"/>
      <c r="B23" s="151" t="s">
        <v>10</v>
      </c>
      <c r="C23" s="152"/>
      <c r="D23" s="153"/>
      <c r="E23" s="9">
        <f>-E22*'Fane 5. Individuelt eff. krav'!G9</f>
        <v>0</v>
      </c>
      <c r="F23" s="14" t="s">
        <v>3</v>
      </c>
      <c r="G23" s="1"/>
    </row>
    <row r="24" spans="1:7" x14ac:dyDescent="0.25">
      <c r="A24" s="1"/>
      <c r="B24" s="151" t="s">
        <v>23</v>
      </c>
      <c r="C24" s="152"/>
      <c r="D24" s="153"/>
      <c r="E24" s="9">
        <f>-E22*'Fane 15. Nøgletal'!C33</f>
        <v>0</v>
      </c>
      <c r="F24" s="14" t="s">
        <v>3</v>
      </c>
      <c r="G24" s="1"/>
    </row>
    <row r="25" spans="1:7" x14ac:dyDescent="0.25">
      <c r="A25" s="1"/>
      <c r="B25" s="115" t="s">
        <v>146</v>
      </c>
      <c r="C25" s="116"/>
      <c r="D25" s="117"/>
      <c r="E25" s="12">
        <f>SUM(E22:E24)*(1+'Fane 15. Nøgletal'!C16)^4</f>
        <v>0</v>
      </c>
      <c r="F25" s="13" t="s">
        <v>3</v>
      </c>
      <c r="G25" s="1"/>
    </row>
    <row r="26" spans="1:7" x14ac:dyDescent="0.25">
      <c r="A26" s="1"/>
      <c r="B26" s="1"/>
      <c r="C26" s="1"/>
      <c r="D26" s="1"/>
      <c r="E26" s="1"/>
      <c r="F26" s="1"/>
      <c r="G26" s="1"/>
    </row>
    <row r="27" spans="1:7" ht="15" customHeight="1" x14ac:dyDescent="0.25">
      <c r="A27" s="1"/>
      <c r="B27" s="115" t="s">
        <v>237</v>
      </c>
      <c r="C27" s="116"/>
      <c r="D27" s="116"/>
      <c r="E27" s="116"/>
      <c r="F27" s="117"/>
      <c r="G27" s="1"/>
    </row>
    <row r="28" spans="1:7" ht="14.25" customHeight="1" x14ac:dyDescent="0.25">
      <c r="A28" s="1"/>
      <c r="B28" s="142" t="s">
        <v>236</v>
      </c>
      <c r="C28" s="143"/>
      <c r="D28" s="144"/>
      <c r="E28" s="9">
        <v>0</v>
      </c>
      <c r="F28" s="14" t="s">
        <v>3</v>
      </c>
      <c r="G28" s="1"/>
    </row>
    <row r="29" spans="1:7" x14ac:dyDescent="0.25">
      <c r="A29" s="1"/>
      <c r="B29" s="151" t="s">
        <v>10</v>
      </c>
      <c r="C29" s="152"/>
      <c r="D29" s="153"/>
      <c r="E29" s="9">
        <f>-E28*'Fane 5. Individuelt eff. krav'!G9</f>
        <v>0</v>
      </c>
      <c r="F29" s="14" t="s">
        <v>3</v>
      </c>
      <c r="G29" s="1"/>
    </row>
    <row r="30" spans="1:7" x14ac:dyDescent="0.25">
      <c r="A30" s="1"/>
      <c r="B30" s="151" t="s">
        <v>23</v>
      </c>
      <c r="C30" s="152"/>
      <c r="D30" s="153"/>
      <c r="E30" s="9">
        <f>-E28*'Fane 15. Nøgletal'!C33</f>
        <v>0</v>
      </c>
      <c r="F30" s="14" t="s">
        <v>3</v>
      </c>
      <c r="G30" s="1"/>
    </row>
    <row r="31" spans="1:7" x14ac:dyDescent="0.25">
      <c r="A31" s="1"/>
      <c r="B31" s="115" t="s">
        <v>238</v>
      </c>
      <c r="C31" s="116"/>
      <c r="D31" s="117"/>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h2unwKc4vqWN4I1XLZJ5Ypi1NQKbl2olhzK7gB7UDxe1zPw37fz2bB37M3Pg7f1YvBjb7g4ucvgzLF8SyeBwaQ==" saltValue="wr+H9aBqJdrgCjBvr48P9w==" spinCount="100000" sheet="1" objects="1" scenarios="1"/>
  <mergeCells count="21">
    <mergeCell ref="B27:F27"/>
    <mergeCell ref="B28:D28"/>
    <mergeCell ref="B29:D29"/>
    <mergeCell ref="B30:D30"/>
    <mergeCell ref="B31:D31"/>
    <mergeCell ref="B25:D25"/>
    <mergeCell ref="B21:F21"/>
    <mergeCell ref="B22:D22"/>
    <mergeCell ref="B19:D19"/>
    <mergeCell ref="B16:D16"/>
    <mergeCell ref="B17:D17"/>
    <mergeCell ref="B18:D18"/>
    <mergeCell ref="B23:D23"/>
    <mergeCell ref="B24:D24"/>
    <mergeCell ref="B3:F5"/>
    <mergeCell ref="B13:D13"/>
    <mergeCell ref="B15:F15"/>
    <mergeCell ref="B9:F9"/>
    <mergeCell ref="B10:D10"/>
    <mergeCell ref="B11:D11"/>
    <mergeCell ref="B12:D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55" zoomScaleNormal="100" zoomScalePageLayoutView="55"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186</v>
      </c>
      <c r="C3" s="114"/>
      <c r="D3" s="114"/>
      <c r="E3" s="114"/>
      <c r="F3" s="114"/>
      <c r="G3" s="1"/>
    </row>
    <row r="4" spans="1:7" ht="25.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5" t="s">
        <v>112</v>
      </c>
      <c r="C8" s="116"/>
      <c r="D8" s="116"/>
      <c r="E8" s="116"/>
      <c r="F8" s="117"/>
      <c r="G8" s="1"/>
    </row>
    <row r="9" spans="1:7" ht="15" customHeight="1" x14ac:dyDescent="0.25">
      <c r="A9" s="1"/>
      <c r="B9" s="31" t="s">
        <v>113</v>
      </c>
      <c r="C9" s="31" t="s">
        <v>11</v>
      </c>
      <c r="D9" s="32"/>
      <c r="E9" s="31" t="s">
        <v>28</v>
      </c>
      <c r="F9" s="32"/>
      <c r="G9" s="1"/>
    </row>
    <row r="10" spans="1:7" ht="26.25" x14ac:dyDescent="0.25">
      <c r="A10" s="1"/>
      <c r="B10" s="71"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EHb5htKq1rLWdYKi8XTeRFUzyzw+2ZUUUoJJ0r5VafnkwxOZOnNJIq8N8fVaJQS3fuzUtCGtMZYPTTKG8bZRqQ==" saltValue="XS+S1WHnSdfmAdbAwTDVaQ=="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8"/>
  <sheetViews>
    <sheetView showGridLines="0" view="pageLayout" zoomScale="70" zoomScaleNormal="100" zoomScalePageLayoutView="7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187</v>
      </c>
      <c r="C3" s="114"/>
      <c r="D3" s="114"/>
      <c r="E3" s="114"/>
      <c r="F3" s="114"/>
      <c r="G3" s="1"/>
    </row>
    <row r="4" spans="1:7" ht="25.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5" t="s">
        <v>240</v>
      </c>
      <c r="C9" s="116"/>
      <c r="D9" s="116"/>
      <c r="E9" s="116"/>
      <c r="F9" s="117"/>
      <c r="G9" s="1"/>
    </row>
    <row r="10" spans="1:7" ht="26.25" customHeight="1" x14ac:dyDescent="0.25">
      <c r="A10" s="1"/>
      <c r="B10" s="31" t="s">
        <v>18</v>
      </c>
      <c r="C10" s="145" t="s">
        <v>11</v>
      </c>
      <c r="D10" s="147"/>
      <c r="E10" s="145" t="s">
        <v>28</v>
      </c>
      <c r="F10" s="147"/>
      <c r="G10" s="1"/>
    </row>
    <row r="11" spans="1:7" x14ac:dyDescent="0.25">
      <c r="A11" s="1"/>
      <c r="B11" s="71"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50"/>
      <c r="C15" s="150"/>
      <c r="D15" s="150"/>
      <c r="E15" s="150"/>
      <c r="F15" s="150"/>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50"/>
      <c r="C21" s="150"/>
      <c r="D21" s="150"/>
      <c r="E21" s="150"/>
      <c r="F21" s="150"/>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50"/>
      <c r="C27" s="150"/>
      <c r="D27" s="150"/>
      <c r="E27" s="150"/>
      <c r="F27" s="150"/>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HxyTpTM9VVHYFB6L3sXw9UgfnJuK2deymzBN2a6OhHUMMypoHG0hIXt0Ceau9mKJBPsKD5yvXUBj2FvqhF6+mw==" saltValue="wsN5HgjAo6A+fs23NtIgNQ=="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70" zoomScaleNormal="100" zoomScalePageLayoutView="7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4" t="s">
        <v>188</v>
      </c>
      <c r="C3" s="114"/>
      <c r="D3" s="1"/>
    </row>
    <row r="4" spans="1:4" ht="25.5" customHeight="1" x14ac:dyDescent="0.25">
      <c r="A4" s="1"/>
      <c r="B4" s="114"/>
      <c r="C4" s="11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2" t="s">
        <v>94</v>
      </c>
      <c r="C9" s="25">
        <v>1.2699999999999999E-2</v>
      </c>
      <c r="D9" s="1"/>
    </row>
    <row r="10" spans="1:4" x14ac:dyDescent="0.25">
      <c r="A10" s="1"/>
      <c r="B10" s="82" t="s">
        <v>95</v>
      </c>
      <c r="C10" s="25">
        <v>1.7500000000000002E-2</v>
      </c>
      <c r="D10" s="1"/>
    </row>
    <row r="11" spans="1:4" x14ac:dyDescent="0.25">
      <c r="A11" s="1"/>
      <c r="B11" s="82"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2" t="s">
        <v>133</v>
      </c>
      <c r="C14" s="39">
        <v>3.3E-3</v>
      </c>
      <c r="D14" s="1"/>
    </row>
    <row r="15" spans="1:4" x14ac:dyDescent="0.25">
      <c r="A15" s="1"/>
      <c r="B15" s="34" t="s">
        <v>152</v>
      </c>
      <c r="C15" s="35">
        <v>3.56E-2</v>
      </c>
      <c r="D15" s="1"/>
    </row>
    <row r="16" spans="1:4" x14ac:dyDescent="0.25">
      <c r="A16" s="1"/>
      <c r="B16" s="65" t="s">
        <v>190</v>
      </c>
      <c r="C16" s="68">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2" t="s">
        <v>96</v>
      </c>
      <c r="C21" s="22">
        <v>9.1000000000000004E-3</v>
      </c>
      <c r="D21" s="1"/>
    </row>
    <row r="22" spans="1:4" x14ac:dyDescent="0.25">
      <c r="A22" s="1"/>
      <c r="B22" s="82" t="s">
        <v>118</v>
      </c>
      <c r="C22" s="22">
        <v>1.77E-2</v>
      </c>
      <c r="D22" s="1"/>
    </row>
    <row r="23" spans="1:4" x14ac:dyDescent="0.25">
      <c r="A23" s="1"/>
      <c r="B23" s="82" t="s">
        <v>119</v>
      </c>
      <c r="C23" s="22">
        <v>8.6999999999999994E-3</v>
      </c>
      <c r="D23" s="1"/>
    </row>
    <row r="24" spans="1:4" x14ac:dyDescent="0.25">
      <c r="A24" s="1"/>
      <c r="B24" s="82" t="s">
        <v>97</v>
      </c>
      <c r="C24" s="36">
        <v>2.8400000000000002E-2</v>
      </c>
      <c r="D24" s="1"/>
    </row>
    <row r="25" spans="1:4" x14ac:dyDescent="0.25">
      <c r="A25" s="1"/>
      <c r="B25" s="82" t="s">
        <v>120</v>
      </c>
      <c r="C25" s="36">
        <v>2.75E-2</v>
      </c>
      <c r="D25" s="1"/>
    </row>
    <row r="26" spans="1:4" x14ac:dyDescent="0.25">
      <c r="A26" s="1"/>
      <c r="B26" s="82" t="s">
        <v>121</v>
      </c>
      <c r="C26" s="36">
        <v>1.4800000000000001E-2</v>
      </c>
      <c r="D26" s="1"/>
    </row>
    <row r="27" spans="1:4" x14ac:dyDescent="0.25">
      <c r="A27" s="1"/>
      <c r="B27" s="34" t="s">
        <v>147</v>
      </c>
      <c r="C27" s="64">
        <v>0</v>
      </c>
      <c r="D27" s="1"/>
    </row>
    <row r="28" spans="1:4" x14ac:dyDescent="0.25">
      <c r="A28" s="1"/>
      <c r="B28" s="65" t="s">
        <v>191</v>
      </c>
      <c r="C28" s="67">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2"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akbH7e2rMvw2UuTyx0pCB+Jkl9TRcL803qdRV8tZVKTqTrjsyvOzcIcXEhH+VD7cKLYbNWj7ikqHoGoxvqzKjw==" saltValue="Skqr0l0JAFoRg5uuAxtjV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2023-09-11T08:32:34Z</dcterms:modified>
</cp:coreProperties>
</file>