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Drikkevand\Tønder Vand AS (V190)\ØR2025\"/>
    </mc:Choice>
  </mc:AlternateContent>
  <xr:revisionPtr revIDLastSave="0" documentId="13_ncr:1_{DD350EB8-35AC-4C90-966F-81B340EF976B}"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<sst xmlns="http://schemas.openxmlformats.org/spreadsheetml/2006/main" count="449" uniqueCount="205">
  <si>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</si>
  <si>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</si>
  <si>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</si>
  <si>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</si>
  <si>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</si>
  <si>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</si>
  <si>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</si>
  <si>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</si>
  <si>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</si>
  <si>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</si>
  <si>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</si>
  <si>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</si>
  <si>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</si>
  <si>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</si>
  <si>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</si>
  <si>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</si>
  <si>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</si>
  <si>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</si>
  <si>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</si>
  <si>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</si>
  <si>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</si>
  <si>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</si>
  <si>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</si>
  <si>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</si>
  <si>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</si>
  <si>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</si>
  <si>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</si>
  <si>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</si>
  <si>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</si>
  <si>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</si>
  <si>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</si>
  <si>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</si>
  <si>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</si>
  <si>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</si>
  <si>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</si>
  <si>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</si>
  <si>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</si>
  <si>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</si>
  <si>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</si>
  <si>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</si>
  <si>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</si>
  <si>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</si>
  <si>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</si>
  <si>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</si>
  <si>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</si>
  <si>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</si>
  <si>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</si>
  <si>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</si>
  <si>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</si>
  <si>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</si>
  <si>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</si>
  <si>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</si>
  <si>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</si>
  <si>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</si>
  <si>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</si>
  <si>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</si>
  <si>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</si>
  <si>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</si>
  <si>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</si>
  <si>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</si>
  <si>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</si>
  <si>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</si>
  <si>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</si>
  <si>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</si>
  <si>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</si>
  <si>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</si>
  <si>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</si>
  <si>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</si>
  <si>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</si>
  <si>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</si>
  <si>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</si>
  <si>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</si>
  <si>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</si>
  <si>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</si>
  <si>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</si>
  <si>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</si>
  <si>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</si>
  <si>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</si>
  <si>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</si>
  <si>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</si>
  <si>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</si>
  <si>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</si>
  <si>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</si>
  <si>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</si>
  <si>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</si>
  <si>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</si>
  <si>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</si>
  <si>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</si>
  <si>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</si>
  <si>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</si>
  <si>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</si>
  <si>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</si>
  <si>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</si>
  <si>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</si>
  <si>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</si>
  <si>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</si>
  <si>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</si>
  <si>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</si>
  <si>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</si>
  <si>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</si>
  <si>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</si>
  <si>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</si>
  <si>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</si>
  <si>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</si>
  <si>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</si>
  <si>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</si>
  <si>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</si>
  <si>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</si>
  <si>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</si>
  <si>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</si>
  <si>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</si>
  <si>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</si>
  <si>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</si>
  <si>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</si>
  <si>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</si>
  <si>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</si>
  <si>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</si>
  <si>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</si>
  <si>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</si>
  <si>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</si>
  <si>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</si>
  <si>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</si>
  <si>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</si>
  <si>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</si>
  <si>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</si>
  <si>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</si>
  <si>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</si>
  <si>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</si>
  <si>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</si>
  <si>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</si>
  <si>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</si>
  <si>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</si>
  <si>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</si>
  <si>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</si>
  <si>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</si>
  <si>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</si>
  <si>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</si>
  <si>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</si>
  <si>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</si>
  <si>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</si>
  <si>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</si>
  <si>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</si>
  <si>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</si>
  <si>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</si>
  <si>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</si>
  <si>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</si>
  <si>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</si>
  <si>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</si>
  <si>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</si>
  <si>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</si>
  <si>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</si>
  <si>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</si>
  <si>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</si>
  <si>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</si>
  <si>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</si>
  <si>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</si>
  <si>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</si>
  <si>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</si>
  <si>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</si>
  <si>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</si>
  <si>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</si>
  <si>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</si>
  <si>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</si>
  <si>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</si>
  <si>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</si>
  <si>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</si>
  <si>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</si>
  <si>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</si>
  <si>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</si>
  <si>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</si>
  <si>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</si>
  <si>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</si>
  <si>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</si>
  <si>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</si>
  <si>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</si>
  <si>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</si>
  <si>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</si>
  <si>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</si>
  <si>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</si>
  <si>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</si>
  <si>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</si>
  <si>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</si>
  <si>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</si>
  <si>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</si>
  <si>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</si>
  <si>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</si>
  <si>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</si>
  <si>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</si>
  <si>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</si>
  <si>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</si>
  <si>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</si>
  <si>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</si>
  <si>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</si>
  <si>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</si>
  <si>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</si>
  <si>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</si>
  <si>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</si>
  <si>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</si>
  <si>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</si>
  <si>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</si>
  <si>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Flytning af Ledning Højer</t>
  </si>
  <si>
    <t xml:space="preserve">Byggemodninger </t>
  </si>
  <si>
    <t>Udvidelse egen forsyning Rudbøl</t>
  </si>
  <si>
    <t>Ingen engangstillæg</t>
  </si>
  <si>
    <t>Omkostninger til frivillige aftaler om dyrkningsrestriktioner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</si>
</sst>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1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8" t="s">
        <v>4</v>
      </c>
      <c r="D6" s="78"/>
      <c r="E6" s="78"/>
      <c r="F6" s="78"/>
      <c r="G6" s="1"/>
    </row>
    <row r="7" spans="1:7" ht="15" customHeight="1" x14ac:dyDescent="0.25">
      <c r="A7" s="1"/>
      <c r="B7" s="3"/>
      <c r="C7" s="78"/>
      <c r="D7" s="78"/>
      <c r="E7" s="78"/>
      <c r="F7" s="78"/>
      <c r="G7" s="1"/>
    </row>
    <row r="8" spans="1:7" ht="15.75" x14ac:dyDescent="0.25">
      <c r="A8" s="1"/>
      <c r="B8" s="4"/>
      <c r="C8" s="83" t="s">
        <v>196</v>
      </c>
      <c r="D8" s="83"/>
      <c r="E8" s="83"/>
      <c r="F8" s="83"/>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2" t="s">
        <v>5</v>
      </c>
      <c r="D11" s="82"/>
      <c r="E11" s="82"/>
      <c r="F11" s="82"/>
      <c r="G11" s="1"/>
    </row>
    <row r="12" spans="1:7" x14ac:dyDescent="0.25">
      <c r="A12" s="1"/>
      <c r="B12" s="1"/>
      <c r="C12" s="1"/>
      <c r="D12" s="1"/>
      <c r="E12" s="1"/>
      <c r="F12" s="1"/>
      <c r="G12" s="1"/>
    </row>
    <row r="13" spans="1:7" x14ac:dyDescent="0.25">
      <c r="A13" s="1"/>
      <c r="B13" s="6" t="s">
        <v>6</v>
      </c>
      <c r="C13" s="75" t="s">
        <v>124</v>
      </c>
      <c r="D13" s="76"/>
      <c r="E13" s="76"/>
      <c r="F13" s="77"/>
      <c r="G13" s="1"/>
    </row>
    <row r="14" spans="1:7" x14ac:dyDescent="0.25">
      <c r="A14" s="1"/>
      <c r="B14" s="6" t="s">
        <v>14</v>
      </c>
      <c r="C14" s="75" t="s">
        <v>159</v>
      </c>
      <c r="D14" s="76"/>
      <c r="E14" s="76"/>
      <c r="F14" s="77"/>
      <c r="G14" s="1"/>
    </row>
    <row r="15" spans="1:7" x14ac:dyDescent="0.25">
      <c r="A15" s="1"/>
      <c r="B15" s="6" t="s">
        <v>29</v>
      </c>
      <c r="C15" s="75" t="s">
        <v>107</v>
      </c>
      <c r="D15" s="76"/>
      <c r="E15" s="76"/>
      <c r="F15" s="77"/>
      <c r="G15" s="1"/>
    </row>
    <row r="16" spans="1:7" x14ac:dyDescent="0.25">
      <c r="A16" s="1"/>
      <c r="B16" s="6" t="s">
        <v>30</v>
      </c>
      <c r="C16" s="75" t="s">
        <v>125</v>
      </c>
      <c r="D16" s="76"/>
      <c r="E16" s="76"/>
      <c r="F16" s="77"/>
      <c r="G16" s="1"/>
    </row>
    <row r="17" spans="1:7" x14ac:dyDescent="0.25">
      <c r="A17" s="1"/>
      <c r="B17" s="6" t="s">
        <v>57</v>
      </c>
      <c r="C17" s="75" t="s">
        <v>126</v>
      </c>
      <c r="D17" s="76"/>
      <c r="E17" s="76"/>
      <c r="F17" s="77"/>
      <c r="G17" s="1"/>
    </row>
    <row r="18" spans="1:7" x14ac:dyDescent="0.25">
      <c r="A18" s="1"/>
      <c r="B18" s="6" t="s">
        <v>49</v>
      </c>
      <c r="C18" s="84" t="s">
        <v>42</v>
      </c>
      <c r="D18" s="85"/>
      <c r="E18" s="85"/>
      <c r="F18" s="86"/>
      <c r="G18" s="1"/>
    </row>
    <row r="19" spans="1:7" x14ac:dyDescent="0.25">
      <c r="A19" s="1"/>
      <c r="B19" s="6" t="s">
        <v>50</v>
      </c>
      <c r="C19" s="84" t="s">
        <v>43</v>
      </c>
      <c r="D19" s="85"/>
      <c r="E19" s="85"/>
      <c r="F19" s="86"/>
      <c r="G19" s="1"/>
    </row>
    <row r="20" spans="1:7" x14ac:dyDescent="0.25">
      <c r="A20" s="1"/>
      <c r="B20" s="6" t="s">
        <v>7</v>
      </c>
      <c r="C20" s="84" t="s">
        <v>9</v>
      </c>
      <c r="D20" s="85"/>
      <c r="E20" s="85"/>
      <c r="F20" s="86"/>
      <c r="G20" s="1"/>
    </row>
    <row r="21" spans="1:7" x14ac:dyDescent="0.25">
      <c r="A21" s="1"/>
      <c r="B21" s="6" t="s">
        <v>51</v>
      </c>
      <c r="C21" s="90" t="s">
        <v>11</v>
      </c>
      <c r="D21" s="91"/>
      <c r="E21" s="91"/>
      <c r="F21" s="92"/>
      <c r="G21" s="1"/>
    </row>
    <row r="22" spans="1:7" x14ac:dyDescent="0.25">
      <c r="A22" s="1"/>
      <c r="B22" s="6" t="s">
        <v>37</v>
      </c>
      <c r="C22" s="79" t="s">
        <v>127</v>
      </c>
      <c r="D22" s="80"/>
      <c r="E22" s="80"/>
      <c r="F22" s="81"/>
      <c r="G22" s="1"/>
    </row>
    <row r="23" spans="1:7" x14ac:dyDescent="0.25">
      <c r="A23" s="1"/>
      <c r="B23" s="6" t="s">
        <v>8</v>
      </c>
      <c r="C23" s="79" t="s">
        <v>89</v>
      </c>
      <c r="D23" s="80"/>
      <c r="E23" s="80"/>
      <c r="F23" s="81"/>
      <c r="G23" s="1"/>
    </row>
    <row r="24" spans="1:7" x14ac:dyDescent="0.25">
      <c r="A24" s="1"/>
      <c r="B24" s="6" t="s">
        <v>85</v>
      </c>
      <c r="C24" s="79" t="s">
        <v>78</v>
      </c>
      <c r="D24" s="80"/>
      <c r="E24" s="80"/>
      <c r="F24" s="81"/>
      <c r="G24" s="1"/>
    </row>
    <row r="25" spans="1:7" x14ac:dyDescent="0.25">
      <c r="A25" s="1"/>
      <c r="B25" s="6" t="s">
        <v>86</v>
      </c>
      <c r="C25" s="79" t="s">
        <v>38</v>
      </c>
      <c r="D25" s="80"/>
      <c r="E25" s="80"/>
      <c r="F25" s="81"/>
      <c r="G25" s="1"/>
    </row>
    <row r="26" spans="1:7" x14ac:dyDescent="0.25">
      <c r="A26" s="1"/>
      <c r="B26" s="6" t="s">
        <v>87</v>
      </c>
      <c r="C26" s="79" t="s">
        <v>39</v>
      </c>
      <c r="D26" s="80"/>
      <c r="E26" s="80"/>
      <c r="F26" s="81"/>
      <c r="G26" s="1"/>
    </row>
    <row r="27" spans="1:7" x14ac:dyDescent="0.25">
      <c r="A27" s="1"/>
      <c r="B27" s="6" t="s">
        <v>52</v>
      </c>
      <c r="C27" s="79" t="s">
        <v>58</v>
      </c>
      <c r="D27" s="80"/>
      <c r="E27" s="80"/>
      <c r="F27" s="81"/>
      <c r="G27" s="1"/>
    </row>
    <row r="28" spans="1:7" x14ac:dyDescent="0.25">
      <c r="A28" s="1"/>
      <c r="B28" s="6" t="s">
        <v>46</v>
      </c>
      <c r="C28" s="79" t="s">
        <v>31</v>
      </c>
      <c r="D28" s="80"/>
      <c r="E28" s="80"/>
      <c r="F28" s="81"/>
      <c r="G28" s="1"/>
    </row>
    <row r="29" spans="1:7" x14ac:dyDescent="0.25">
      <c r="A29" s="1"/>
      <c r="B29" s="6" t="s">
        <v>88</v>
      </c>
      <c r="C29" s="87" t="s">
        <v>47</v>
      </c>
      <c r="D29" s="88"/>
      <c r="E29" s="88"/>
      <c r="F29" s="89"/>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bK6fDXQzSK/GHRoh7i3ZMuirRGz/pc0yahwpaJgo2sgMF1S6XVtG4UOIiMqHQcO9ymulHxE09OBVIN5GnS9v6g==" saltValue="xD8wnud3z/rF/+zBkP3gNg=="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55</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7" t="s">
        <v>142</v>
      </c>
      <c r="C8" s="98"/>
      <c r="D8" s="99"/>
      <c r="E8" s="1"/>
    </row>
    <row r="9" spans="1:5" ht="15" customHeight="1" x14ac:dyDescent="0.25">
      <c r="A9" s="1"/>
      <c r="B9" s="51" t="s">
        <v>27</v>
      </c>
      <c r="C9" s="45" t="s">
        <v>145</v>
      </c>
      <c r="D9" s="11"/>
      <c r="E9" s="1"/>
    </row>
    <row r="10" spans="1:5" ht="15" customHeight="1" x14ac:dyDescent="0.25">
      <c r="A10" s="1"/>
      <c r="B10" s="64" t="s">
        <v>197</v>
      </c>
      <c r="C10" s="65">
        <v>9502174</v>
      </c>
      <c r="D10" s="14" t="s">
        <v>3</v>
      </c>
      <c r="E10" s="1"/>
    </row>
    <row r="11" spans="1:5" x14ac:dyDescent="0.25">
      <c r="A11" s="1"/>
      <c r="B11" s="64" t="s">
        <v>198</v>
      </c>
      <c r="C11" s="65">
        <v>71126</v>
      </c>
      <c r="D11" s="14" t="s">
        <v>3</v>
      </c>
      <c r="E11" s="1"/>
    </row>
    <row r="12" spans="1:5" x14ac:dyDescent="0.25">
      <c r="A12" s="1"/>
      <c r="B12" s="64" t="s">
        <v>199</v>
      </c>
      <c r="C12" s="65">
        <v>12348</v>
      </c>
      <c r="D12" s="14" t="s">
        <v>3</v>
      </c>
      <c r="E12" s="1"/>
    </row>
    <row r="13" spans="1:5" x14ac:dyDescent="0.25">
      <c r="A13" s="1"/>
      <c r="B13" s="64" t="s">
        <v>204</v>
      </c>
      <c r="C13" s="65">
        <v>486600</v>
      </c>
      <c r="D13" s="14" t="s">
        <v>3</v>
      </c>
      <c r="E13" s="1"/>
    </row>
    <row r="14" spans="1:5" x14ac:dyDescent="0.25">
      <c r="A14" s="1"/>
      <c r="B14" s="64"/>
      <c r="C14" s="65"/>
      <c r="D14" s="14" t="s">
        <v>3</v>
      </c>
      <c r="E14" s="1"/>
    </row>
    <row r="15" spans="1:5" x14ac:dyDescent="0.25">
      <c r="A15" s="1"/>
      <c r="B15" s="64"/>
      <c r="C15" s="65"/>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10072248</v>
      </c>
      <c r="D19" s="13" t="s">
        <v>3</v>
      </c>
      <c r="E19" s="1"/>
    </row>
    <row r="20" spans="1:5" x14ac:dyDescent="0.25">
      <c r="A20" s="1"/>
      <c r="B20" s="52" t="s">
        <v>144</v>
      </c>
      <c r="C20" s="12">
        <f>C19*(1+'Fane 13. Nøgletal'!C11)^2</f>
        <v>11452102.56461112</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DgmjbYgXNFZd2AQl+NcSUeyUutiI/Tf6Q8XuhhvLQIlxRq0PNIJza+G0xBJZpl9VxieopVrL9IuOleWN0XKtFw==" saltValue="LAP6hPwVO4oqT7rsQrl/Qg=="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172</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1"/>
      <c r="D7" s="1"/>
      <c r="E7" s="1"/>
    </row>
    <row r="8" spans="1:5" x14ac:dyDescent="0.25">
      <c r="A8" s="1"/>
      <c r="B8" s="97" t="s">
        <v>175</v>
      </c>
      <c r="C8" s="98"/>
      <c r="D8" s="99"/>
      <c r="E8" s="1"/>
    </row>
    <row r="9" spans="1:5" x14ac:dyDescent="0.25">
      <c r="A9" s="1"/>
      <c r="B9" s="56" t="s">
        <v>176</v>
      </c>
      <c r="C9" s="9">
        <v>845338.74683298171</v>
      </c>
      <c r="D9" s="39" t="s">
        <v>3</v>
      </c>
      <c r="E9" s="1"/>
    </row>
    <row r="10" spans="1:5" x14ac:dyDescent="0.25">
      <c r="A10" s="1"/>
      <c r="B10" s="56" t="s">
        <v>174</v>
      </c>
      <c r="C10" s="9">
        <v>-1356107.5228397176</v>
      </c>
      <c r="D10" s="14" t="s">
        <v>3</v>
      </c>
      <c r="E10" s="1"/>
    </row>
    <row r="11" spans="1:5" x14ac:dyDescent="0.25">
      <c r="A11" s="1"/>
      <c r="B11" s="52"/>
      <c r="C11" s="53"/>
      <c r="D11" s="19"/>
      <c r="E11" s="1"/>
    </row>
    <row r="12" spans="1:5" ht="53.85" customHeight="1" x14ac:dyDescent="0.25">
      <c r="A12" s="1"/>
      <c r="B12" s="106" t="s">
        <v>173</v>
      </c>
      <c r="C12" s="107"/>
      <c r="D12" s="108"/>
      <c r="E12" s="1"/>
    </row>
    <row r="13" spans="1:5" x14ac:dyDescent="0.25">
      <c r="A13" s="1"/>
      <c r="B13" s="1"/>
      <c r="C13" s="1"/>
      <c r="D13" s="1"/>
      <c r="E13" s="1"/>
    </row>
    <row r="14" spans="1:5" x14ac:dyDescent="0.25">
      <c r="A14" s="1"/>
      <c r="B14" s="68" t="s">
        <v>177</v>
      </c>
      <c r="C14" s="69"/>
      <c r="D14" s="70"/>
      <c r="E14" s="1"/>
    </row>
    <row r="15" spans="1:5" x14ac:dyDescent="0.25">
      <c r="A15" s="1"/>
      <c r="B15" s="56" t="s">
        <v>178</v>
      </c>
      <c r="C15" s="9">
        <f>IF(C10&lt;0,C10,0)</f>
        <v>-1356107.5228397176</v>
      </c>
      <c r="D15" s="14" t="s">
        <v>3</v>
      </c>
      <c r="E15" s="1"/>
    </row>
    <row r="16" spans="1:5" x14ac:dyDescent="0.25">
      <c r="A16" s="1"/>
      <c r="B16" s="56" t="s">
        <v>185</v>
      </c>
      <c r="C16" s="9">
        <f>IF(SUM(C9)&gt;0,SUM(C9),0)</f>
        <v>845338.74683298171</v>
      </c>
      <c r="D16" s="14" t="s">
        <v>3</v>
      </c>
      <c r="E16" s="1"/>
    </row>
    <row r="17" spans="1:5" ht="26.25" x14ac:dyDescent="0.25">
      <c r="A17" s="1"/>
      <c r="B17" s="71" t="s">
        <v>179</v>
      </c>
      <c r="C17" s="62">
        <f>IF(SUM(C15:C16)&gt;0,0,SUM(C15:C16))</f>
        <v>-510768.77600673586</v>
      </c>
      <c r="D17" s="17" t="s">
        <v>3</v>
      </c>
      <c r="E17" s="1"/>
    </row>
    <row r="18" spans="1:5" x14ac:dyDescent="0.25">
      <c r="A18" s="1"/>
      <c r="B18" s="52"/>
      <c r="C18" s="53"/>
      <c r="D18" s="19"/>
      <c r="E18" s="1"/>
    </row>
    <row r="19" spans="1:5" x14ac:dyDescent="0.25">
      <c r="A19" s="1"/>
      <c r="B19" s="1"/>
      <c r="C19" s="1"/>
      <c r="D19" s="1"/>
      <c r="E19" s="1"/>
    </row>
    <row r="20" spans="1:5" x14ac:dyDescent="0.25">
      <c r="A20" s="1"/>
      <c r="B20" s="68" t="s">
        <v>180</v>
      </c>
      <c r="C20" s="69"/>
      <c r="D20" s="70"/>
      <c r="E20" s="1"/>
    </row>
    <row r="21" spans="1:5" x14ac:dyDescent="0.25">
      <c r="A21" s="1"/>
      <c r="B21" s="56" t="s">
        <v>181</v>
      </c>
      <c r="C21" s="9">
        <v>31445174.286508717</v>
      </c>
      <c r="D21" s="14" t="s">
        <v>3</v>
      </c>
      <c r="E21" s="1"/>
    </row>
    <row r="22" spans="1:5" x14ac:dyDescent="0.25">
      <c r="A22" s="1"/>
      <c r="B22" s="56" t="s">
        <v>182</v>
      </c>
      <c r="C22" s="9">
        <v>30559370</v>
      </c>
      <c r="D22" s="14" t="s">
        <v>3</v>
      </c>
      <c r="E22" s="1"/>
    </row>
    <row r="23" spans="1:5" x14ac:dyDescent="0.25">
      <c r="A23" s="1"/>
      <c r="B23" s="56" t="s">
        <v>28</v>
      </c>
      <c r="C23" s="9">
        <v>0</v>
      </c>
      <c r="D23" s="14" t="s">
        <v>3</v>
      </c>
      <c r="E23" s="1"/>
    </row>
    <row r="24" spans="1:5" x14ac:dyDescent="0.25">
      <c r="A24" s="1"/>
      <c r="B24" s="73" t="s">
        <v>183</v>
      </c>
      <c r="C24" s="46">
        <f>C21-C22-C23</f>
        <v>885804.28650871664</v>
      </c>
      <c r="D24" s="17" t="s">
        <v>3</v>
      </c>
      <c r="E24" s="1"/>
    </row>
    <row r="25" spans="1:5" x14ac:dyDescent="0.25">
      <c r="A25" s="1"/>
      <c r="B25" s="52"/>
      <c r="C25" s="53"/>
      <c r="D25" s="19"/>
      <c r="E25" s="1"/>
    </row>
    <row r="26" spans="1:5" x14ac:dyDescent="0.25">
      <c r="A26" s="1"/>
      <c r="B26" s="1"/>
      <c r="C26" s="1"/>
      <c r="D26" s="1"/>
      <c r="E26" s="1"/>
    </row>
    <row r="27" spans="1:5" x14ac:dyDescent="0.25">
      <c r="A27" s="1"/>
      <c r="B27" s="97" t="s">
        <v>184</v>
      </c>
      <c r="C27" s="98"/>
      <c r="D27" s="99"/>
      <c r="E27" s="1"/>
    </row>
    <row r="28" spans="1:5" x14ac:dyDescent="0.25">
      <c r="A28" s="1"/>
      <c r="B28" s="57" t="s">
        <v>65</v>
      </c>
      <c r="C28" s="9">
        <f>IF(C17&lt;0,IF(C24&lt;0,SUM(C17,C24),IF(C9&gt;0,SUM(C9:C10),C17)),IF(AND(C24&lt;0,SUM(C24,C10)&lt;0),IF(C10&lt;0,C24,IF(SUM(C9:C10)&gt;0,SUM(C24,C10),IF(AND(C24&lt;0,C17=0,C10&gt;0),IF(SUM(C9:C10)&gt;0,C24+C10,C24)))),IF(AND(SUM(C9:C10)&lt;0,C17=0,C24&lt;0),C24,0)))</f>
        <v>-510768.77600673586</v>
      </c>
      <c r="D28" s="14" t="s">
        <v>3</v>
      </c>
      <c r="E28" s="1"/>
    </row>
    <row r="29" spans="1:5" x14ac:dyDescent="0.25">
      <c r="A29" s="1"/>
      <c r="B29" s="57" t="s">
        <v>48</v>
      </c>
      <c r="C29" s="9">
        <v>2</v>
      </c>
      <c r="D29" s="14" t="s">
        <v>18</v>
      </c>
      <c r="E29" s="1"/>
    </row>
    <row r="30" spans="1:5" x14ac:dyDescent="0.25">
      <c r="A30" s="1"/>
      <c r="B30" s="58" t="s">
        <v>64</v>
      </c>
      <c r="C30" s="10">
        <f>C28/C29</f>
        <v>-255384.38800336793</v>
      </c>
      <c r="D30" s="17" t="s">
        <v>3</v>
      </c>
      <c r="E30" s="1"/>
    </row>
    <row r="31" spans="1:5" x14ac:dyDescent="0.25">
      <c r="A31" s="1"/>
      <c r="B31" s="109"/>
      <c r="C31" s="110"/>
      <c r="D31" s="11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kxuhWDQSebcS3N/38Zoms12GtMw0YeHnh8jB6N6HtCjYo8AuuSHOieyXDWL8a1giaN3wRdz9QDl6GKjTeggh+g==" saltValue="7OWeJAzxqbYhLuSdL5jRxA=="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5" t="s">
        <v>96</v>
      </c>
      <c r="C3" s="95"/>
      <c r="D3" s="95"/>
      <c r="E3" s="1"/>
    </row>
    <row r="4" spans="1:5" ht="15" customHeight="1" x14ac:dyDescent="0.25">
      <c r="A4" s="1"/>
      <c r="B4" s="95"/>
      <c r="C4" s="95"/>
      <c r="D4" s="95"/>
      <c r="E4" s="1"/>
    </row>
    <row r="5" spans="1:5" x14ac:dyDescent="0.25">
      <c r="A5" s="1"/>
      <c r="B5" s="95"/>
      <c r="C5" s="95"/>
      <c r="D5" s="95"/>
      <c r="E5" s="1"/>
    </row>
    <row r="6" spans="1:5" x14ac:dyDescent="0.25">
      <c r="A6" s="1"/>
      <c r="B6" s="1"/>
      <c r="C6" s="1"/>
      <c r="D6" s="1"/>
      <c r="E6" s="1"/>
    </row>
    <row r="7" spans="1:5" x14ac:dyDescent="0.25">
      <c r="A7" s="1"/>
      <c r="B7" s="1"/>
      <c r="C7" s="1"/>
      <c r="D7" s="1"/>
      <c r="E7" s="1"/>
    </row>
    <row r="8" spans="1:5" x14ac:dyDescent="0.25">
      <c r="A8" s="1"/>
      <c r="B8" s="97" t="s">
        <v>97</v>
      </c>
      <c r="C8" s="98"/>
      <c r="D8" s="99"/>
      <c r="E8" s="1"/>
    </row>
    <row r="9" spans="1:5" ht="15" customHeight="1" x14ac:dyDescent="0.25">
      <c r="A9" s="1"/>
      <c r="B9" s="112" t="s">
        <v>123</v>
      </c>
      <c r="C9" s="113"/>
      <c r="D9" s="114"/>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8"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T8hkUb0gzLFl/Ap4l+aP6waQAc8mykh7SHtGFEO+8veUyU3f+hG+SLNtrKysGdARcxi8dTgXcGY9IXXQzYTmQ==" saltValue="0a7bzlnmp8UsDwTZUHtbZg=="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3" t="s">
        <v>90</v>
      </c>
      <c r="C3" s="93"/>
      <c r="D3" s="93"/>
      <c r="E3" s="93"/>
      <c r="F3" s="93"/>
      <c r="G3" s="93"/>
      <c r="H3" s="93"/>
      <c r="I3" s="93"/>
      <c r="J3" s="93"/>
      <c r="K3" s="93"/>
      <c r="L3" s="1"/>
    </row>
    <row r="4" spans="1:12" ht="15" customHeight="1" x14ac:dyDescent="0.25">
      <c r="A4" s="1"/>
      <c r="B4" s="93"/>
      <c r="C4" s="93"/>
      <c r="D4" s="93"/>
      <c r="E4" s="93"/>
      <c r="F4" s="93"/>
      <c r="G4" s="93"/>
      <c r="H4" s="93"/>
      <c r="I4" s="93"/>
      <c r="J4" s="93"/>
      <c r="K4" s="93"/>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7" t="s">
        <v>74</v>
      </c>
      <c r="C8" s="98"/>
      <c r="D8" s="98"/>
      <c r="E8" s="98"/>
      <c r="F8" s="98"/>
      <c r="G8" s="98"/>
      <c r="H8" s="98"/>
      <c r="I8" s="98"/>
      <c r="J8" s="98"/>
      <c r="K8" s="99"/>
      <c r="L8" s="1"/>
    </row>
    <row r="9" spans="1:12" ht="39.75" customHeight="1" x14ac:dyDescent="0.25">
      <c r="A9" s="1"/>
      <c r="B9" s="18" t="s">
        <v>0</v>
      </c>
      <c r="C9" s="18" t="s">
        <v>1</v>
      </c>
      <c r="D9" s="115" t="s">
        <v>83</v>
      </c>
      <c r="E9" s="116"/>
      <c r="F9" s="115" t="s">
        <v>2</v>
      </c>
      <c r="G9" s="116"/>
      <c r="H9" s="115" t="s">
        <v>84</v>
      </c>
      <c r="I9" s="116"/>
      <c r="J9" s="115" t="s">
        <v>25</v>
      </c>
      <c r="K9" s="116"/>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0"/>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N/vT+GA1c97tdVBvqxlTgmTKsWyKptzis15FgGRrXH/m1Gij0mi6/BuvCojyKEavRnefpk4b3jtL1v6ImAVJVg==" saltValue="kwC/cbR+VaQC+LD3VBIpz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91</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1" t="s">
        <v>15</v>
      </c>
      <c r="C9" s="73" t="s">
        <v>10</v>
      </c>
      <c r="D9" s="72"/>
      <c r="E9" s="73"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200</v>
      </c>
      <c r="C11" s="21">
        <v>0</v>
      </c>
      <c r="D11" s="14" t="s">
        <v>3</v>
      </c>
      <c r="E11" s="9">
        <v>10158</v>
      </c>
      <c r="F11" s="14" t="s">
        <v>3</v>
      </c>
      <c r="G11" s="1"/>
    </row>
    <row r="12" spans="1:7" x14ac:dyDescent="0.25">
      <c r="A12" s="1"/>
      <c r="B12" s="26" t="s">
        <v>201</v>
      </c>
      <c r="C12" s="21">
        <v>8237.86</v>
      </c>
      <c r="D12" s="14" t="s">
        <v>3</v>
      </c>
      <c r="E12" s="9">
        <v>5031.7700000000004</v>
      </c>
      <c r="F12" s="14" t="s">
        <v>3</v>
      </c>
      <c r="G12" s="1"/>
    </row>
    <row r="13" spans="1:7" x14ac:dyDescent="0.25">
      <c r="A13" s="1"/>
      <c r="B13" s="26" t="s">
        <v>202</v>
      </c>
      <c r="C13" s="21">
        <v>0</v>
      </c>
      <c r="D13" s="14" t="s">
        <v>3</v>
      </c>
      <c r="E13" s="9">
        <v>25676.1</v>
      </c>
      <c r="F13" s="14" t="s">
        <v>3</v>
      </c>
      <c r="G13" s="1"/>
    </row>
    <row r="14" spans="1:7" x14ac:dyDescent="0.25">
      <c r="A14" s="1"/>
      <c r="B14" s="26"/>
      <c r="C14" s="21"/>
      <c r="D14" s="14" t="s">
        <v>3</v>
      </c>
      <c r="E14" s="9"/>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112</v>
      </c>
      <c r="C17" s="12">
        <f>SUM(C10:C16)</f>
        <v>8237.86</v>
      </c>
      <c r="D17" s="13" t="s">
        <v>3</v>
      </c>
      <c r="E17" s="12">
        <f>SUM(E10:E16)</f>
        <v>40865.869999999995</v>
      </c>
      <c r="F17" s="13" t="s">
        <v>3</v>
      </c>
      <c r="G17" s="1"/>
    </row>
    <row r="18" spans="1:7" x14ac:dyDescent="0.25">
      <c r="A18" s="1"/>
      <c r="B18" s="52" t="s">
        <v>147</v>
      </c>
      <c r="C18" s="12">
        <f>C17*(1+'Fane 13. Nøgletal'!C11)</f>
        <v>8784.0301180000006</v>
      </c>
      <c r="D18" s="13" t="s">
        <v>3</v>
      </c>
      <c r="E18" s="12">
        <f>E17*(1+'Fane 13. Nøgletal'!C11)</f>
        <v>43575.277180999998</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VjpeOowDUN1k+BMpi6EHBex2AFScfyjiWcFlmmgZRUwytUS2YcO//D1cX3wyURp+ZbJBZfghSv6jqy8+/5wKBw==" saltValue="vdrbJamHQiaIEmNh26CRL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92</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7" t="s">
        <v>150</v>
      </c>
      <c r="C8" s="98"/>
      <c r="D8" s="98"/>
      <c r="E8" s="98"/>
      <c r="F8" s="99"/>
      <c r="G8" s="1"/>
    </row>
    <row r="9" spans="1:7" x14ac:dyDescent="0.25">
      <c r="A9" s="1"/>
      <c r="B9" s="71" t="s">
        <v>15</v>
      </c>
      <c r="C9" s="73" t="s">
        <v>10</v>
      </c>
      <c r="D9" s="74"/>
      <c r="E9" s="73" t="s">
        <v>26</v>
      </c>
      <c r="F9" s="27"/>
      <c r="G9" s="1"/>
    </row>
    <row r="10" spans="1:7" x14ac:dyDescent="0.25">
      <c r="A10" s="1"/>
      <c r="B10" s="23" t="s">
        <v>203</v>
      </c>
      <c r="C10" s="21"/>
      <c r="D10" s="14" t="s">
        <v>3</v>
      </c>
      <c r="E10" s="9"/>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148</v>
      </c>
      <c r="C13" s="12">
        <f>SUM(C10:C12)</f>
        <v>0</v>
      </c>
      <c r="D13" s="13" t="s">
        <v>3</v>
      </c>
      <c r="E13" s="12">
        <f>SUM(E10:E12)</f>
        <v>0</v>
      </c>
      <c r="F13" s="13" t="s">
        <v>3</v>
      </c>
      <c r="G13" s="1"/>
    </row>
    <row r="14" spans="1:7" x14ac:dyDescent="0.25">
      <c r="A14" s="1"/>
      <c r="B14" s="52" t="s">
        <v>149</v>
      </c>
      <c r="C14" s="12">
        <f>C13*(1+'Fane 13. Nøgletal'!$C$11)^2</f>
        <v>0</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vVfq760gLxRW0GXv9kcUcXb3jl9oXgJGcYKjOfLVoQbFTQ8PRucGadRrlOOq8/MTZWEB6mnsp1J2X5+QAljP1A==" saltValue="qbnYba852YmihmlRCu0HV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93</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x14ac:dyDescent="0.25">
      <c r="A7" s="1"/>
      <c r="B7" s="1"/>
      <c r="C7" s="1"/>
      <c r="D7" s="1"/>
      <c r="E7" s="1"/>
      <c r="F7" s="1"/>
      <c r="G7" s="1"/>
    </row>
    <row r="8" spans="1:7" x14ac:dyDescent="0.25">
      <c r="A8" s="1"/>
      <c r="B8" s="97" t="s">
        <v>59</v>
      </c>
      <c r="C8" s="98"/>
      <c r="D8" s="98"/>
      <c r="E8" s="98"/>
      <c r="F8" s="99"/>
      <c r="G8" s="1"/>
    </row>
    <row r="9" spans="1:7" ht="15" customHeight="1" x14ac:dyDescent="0.25">
      <c r="A9" s="1"/>
      <c r="B9" s="54" t="s">
        <v>60</v>
      </c>
      <c r="C9" s="117" t="s">
        <v>10</v>
      </c>
      <c r="D9" s="118"/>
      <c r="E9" s="117" t="s">
        <v>26</v>
      </c>
      <c r="F9" s="118"/>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wBRX67s4UvsAM3aoOz+keG/s6Uv6nIJt9DOkiZIfQo302fXBtR4URZtsQVUEf/mhl+JcF5NP7YwUZ9xHBPacjw==" saltValue="n5yxc2K3YaTylr/rkLOU5Q=="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94</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7" t="s">
        <v>152</v>
      </c>
      <c r="C8" s="98"/>
      <c r="D8" s="98"/>
      <c r="E8" s="98"/>
      <c r="F8" s="99"/>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kNAk90KxMsoIXEje+B8Fs9eFH/G6t38guQWfkG0JtFSCigwO9osYCKFh7goo4w01lYCZwOSlFgY89MYUhZ0RHg==" saltValue="cWjIbwV1XC5n/RoSEPna4g=="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5" t="s">
        <v>95</v>
      </c>
      <c r="C3" s="95"/>
      <c r="D3" s="1"/>
    </row>
    <row r="4" spans="1:4" ht="15" customHeight="1" x14ac:dyDescent="0.25">
      <c r="A4" s="1"/>
      <c r="B4" s="95"/>
      <c r="C4" s="95"/>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194</v>
      </c>
      <c r="C11" s="49">
        <v>6.6299999999999998E-2</v>
      </c>
      <c r="D11" s="1"/>
    </row>
    <row r="12" spans="1:4" x14ac:dyDescent="0.25">
      <c r="A12" s="1"/>
      <c r="B12" s="97"/>
      <c r="C12" s="99"/>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195</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ikw53sB5D10NhSTDquUSM/YnCo3ze/a+QGrDfHLcQkTGMj81xwfnpj1OCGVMCF90UMVI+ZoJEPMHFq/6N4BUKA==" saltValue="TxwQUTebEaiVrrF+5bYipQ=="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128</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20324868.999155737</v>
      </c>
      <c r="D9" s="8" t="s">
        <v>3</v>
      </c>
      <c r="E9" s="1"/>
    </row>
    <row r="10" spans="1:5" ht="17.100000000000001" customHeight="1" x14ac:dyDescent="0.25">
      <c r="A10" s="1"/>
      <c r="B10" s="24" t="s">
        <v>32</v>
      </c>
      <c r="C10" s="7">
        <f>'Fane 10.1. Varige tillæg'!C18</f>
        <v>8784.0301180000006</v>
      </c>
      <c r="D10" s="8" t="s">
        <v>3</v>
      </c>
      <c r="E10" s="1"/>
    </row>
    <row r="11" spans="1:5" ht="17.100000000000001" customHeight="1" x14ac:dyDescent="0.25">
      <c r="A11" s="1"/>
      <c r="B11" s="24" t="s">
        <v>33</v>
      </c>
      <c r="C11" s="9">
        <f>'Fane 10.1. Varige tillæg'!E18</f>
        <v>43575.277180999998</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1351010.2367179489</v>
      </c>
      <c r="D16" s="8" t="s">
        <v>3</v>
      </c>
      <c r="E16" s="1"/>
    </row>
    <row r="17" spans="1:5" ht="17.100000000000001" customHeight="1" x14ac:dyDescent="0.25">
      <c r="A17" s="1"/>
      <c r="B17" s="24" t="s">
        <v>9</v>
      </c>
      <c r="C17" s="9">
        <f>-SUM(C9:C16)*'Fane 5. Individuelt eff. krav'!C9</f>
        <v>0</v>
      </c>
      <c r="D17" s="8" t="s">
        <v>3</v>
      </c>
      <c r="E17" s="1"/>
    </row>
    <row r="18" spans="1:5" ht="17.100000000000001" customHeight="1" x14ac:dyDescent="0.25">
      <c r="A18" s="1"/>
      <c r="B18" s="24" t="s">
        <v>21</v>
      </c>
      <c r="C18" s="9">
        <f>-'Fane 4.1. Gen. krav - drift'!C17</f>
        <v>-172714.70069874378</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3" t="s">
        <v>19</v>
      </c>
      <c r="C20" s="10">
        <f>SUM(C9:C19)</f>
        <v>21555523.842473943</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11452102.56461112</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0</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0</v>
      </c>
      <c r="D26" s="8" t="s">
        <v>3</v>
      </c>
      <c r="E26" s="1"/>
    </row>
    <row r="27" spans="1:5" ht="15" customHeight="1" x14ac:dyDescent="0.25">
      <c r="A27" s="1"/>
      <c r="B27" s="24" t="s">
        <v>80</v>
      </c>
      <c r="C27" s="9">
        <f>-C25*('Fane 13. Nøgletal'!C18+'Fane 5. Individuelt eff. krav'!C9)</f>
        <v>0</v>
      </c>
      <c r="D27" s="8" t="s">
        <v>3</v>
      </c>
      <c r="E27" s="1"/>
    </row>
    <row r="28" spans="1:5" x14ac:dyDescent="0.25">
      <c r="A28" s="1"/>
      <c r="B28" s="73" t="s">
        <v>40</v>
      </c>
      <c r="C28" s="50">
        <f>SUM(C24:C27)</f>
        <v>0</v>
      </c>
      <c r="D28" s="11" t="s">
        <v>3</v>
      </c>
      <c r="E28" s="1"/>
    </row>
    <row r="29" spans="1:5" ht="15" customHeight="1" x14ac:dyDescent="0.25">
      <c r="A29" s="1"/>
      <c r="B29" s="25" t="s">
        <v>65</v>
      </c>
      <c r="C29" s="53"/>
      <c r="D29" s="19"/>
      <c r="E29" s="1"/>
    </row>
    <row r="30" spans="1:5" x14ac:dyDescent="0.25">
      <c r="A30" s="1"/>
      <c r="B30" s="58" t="s">
        <v>66</v>
      </c>
      <c r="C30" s="10">
        <f>'Fane 7. Kontrol af ØR2023'!C30</f>
        <v>-255384.38800336793</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32752242.019081693</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7d0VtWkrGUqQvcfvkzzHwMLjjga9DQjIUPuiGrEGiJjFVxOM4C5v0ilMGArvqgr/H8WtyEHRSZGloErmyqASZg==" saltValue="lFOAWMHJ+tei3HMeOlgpj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129</v>
      </c>
      <c r="C3" s="93"/>
      <c r="D3" s="93"/>
      <c r="E3" s="1"/>
    </row>
    <row r="4" spans="1:5" ht="15" customHeight="1" x14ac:dyDescent="0.25">
      <c r="A4" s="1"/>
      <c r="B4" s="93"/>
      <c r="C4" s="93"/>
      <c r="D4" s="93"/>
      <c r="E4" s="1"/>
    </row>
    <row r="5" spans="1:5" x14ac:dyDescent="0.25">
      <c r="A5" s="1"/>
      <c r="B5" s="94"/>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21555523.842473943</v>
      </c>
      <c r="D9" s="8" t="s">
        <v>3</v>
      </c>
      <c r="E9" s="1"/>
    </row>
    <row r="10" spans="1:5" ht="15" customHeight="1" x14ac:dyDescent="0.25">
      <c r="A10" s="1"/>
      <c r="B10" s="47" t="s">
        <v>17</v>
      </c>
      <c r="C10" s="41">
        <f>C9*'Fane 13. Nøgletal'!C11</f>
        <v>1429131.2307560223</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drift'!C22</f>
        <v>-180482.37164796903</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22804172.701581996</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12211376.964644838</v>
      </c>
      <c r="D16" s="11" t="s">
        <v>3</v>
      </c>
      <c r="E16" s="1"/>
    </row>
    <row r="17" spans="1:5" x14ac:dyDescent="0.25">
      <c r="A17" s="1"/>
      <c r="B17" s="25" t="s">
        <v>65</v>
      </c>
      <c r="C17" s="53"/>
      <c r="D17" s="19"/>
      <c r="E17" s="1"/>
    </row>
    <row r="18" spans="1:5" ht="15" customHeight="1" x14ac:dyDescent="0.25">
      <c r="A18" s="1"/>
      <c r="B18" s="45" t="s">
        <v>66</v>
      </c>
      <c r="C18" s="10">
        <f>'Fane 7. Kontrol af ØR2023'!C30</f>
        <v>-255384.38800336793</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34760165.27822347</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a3yBW9Jo+ZswmkNEKhDYYQxJe3Oe9IB+sx3JAP12Iz0O1q2NOkb+WOTToxvwh+nonNUOQuCiJNpXb79/eQoCMg==" saltValue="+m7hNPKR5KwmUByT4/s8y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130</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22804172.701581996</v>
      </c>
      <c r="D9" s="8" t="s">
        <v>3</v>
      </c>
      <c r="E9" s="1"/>
    </row>
    <row r="10" spans="1:5" ht="15" customHeight="1" x14ac:dyDescent="0.25">
      <c r="A10" s="1"/>
      <c r="B10" s="47" t="s">
        <v>17</v>
      </c>
      <c r="C10" s="41">
        <f>C9*'Fane 13. Nøgletal'!C11</f>
        <v>1511916.6501148862</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drift'!C27</f>
        <v>-188599.3858304648</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24127489.965866417</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13020991.25740079</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37148481.223267205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DEoE+CT8VG+FopofNTF9H9yQ55YOUAyP6wbjN3dxDmYYgk0yCHFZBv1M4G7XMlzDl5zEkLTNSPSB8/9vfm8r4A==" saltValue="BLVgGhlWoUpkAPGZjvDlC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131</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24127489.965866417</v>
      </c>
      <c r="D9" s="8" t="s">
        <v>3</v>
      </c>
      <c r="E9" s="1"/>
    </row>
    <row r="10" spans="1:5" ht="15" customHeight="1" x14ac:dyDescent="0.25">
      <c r="A10" s="1"/>
      <c r="B10" s="47" t="s">
        <v>17</v>
      </c>
      <c r="C10" s="9">
        <f>C9*'Fane 13. Nøgletal'!C11</f>
        <v>1599652.5847369435</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drift'!C32</f>
        <v>-197081.45460880414</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25530061.095994554</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13884282.977766464</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39414344.073761016</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gKd7bVJozMyZbdOh4X1gT55/Jny94OMNHTjUEJaymdjgNgNmmYYfbkaO9uLKy3lB/G65jbDGFODqR+bvYot+0Q==" saltValue="DbfCYw8ClUGUvfpeU/rzk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5" t="s">
        <v>134</v>
      </c>
      <c r="C3" s="95"/>
      <c r="D3" s="95"/>
      <c r="E3" s="1"/>
    </row>
    <row r="4" spans="1:5" ht="15" customHeight="1" x14ac:dyDescent="0.25">
      <c r="A4" s="1"/>
      <c r="B4" s="95"/>
      <c r="C4" s="95"/>
      <c r="D4" s="95"/>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20017575.549678635</v>
      </c>
      <c r="D9" s="8" t="s">
        <v>3</v>
      </c>
      <c r="E9" s="1"/>
    </row>
    <row r="10" spans="1:5" x14ac:dyDescent="0.25">
      <c r="A10" s="1"/>
      <c r="B10" s="24" t="s">
        <v>32</v>
      </c>
      <c r="C10" s="7">
        <v>55841.693599999999</v>
      </c>
      <c r="D10" s="8" t="s">
        <v>3</v>
      </c>
      <c r="E10" s="1"/>
    </row>
    <row r="11" spans="1:5" ht="15" customHeight="1" x14ac:dyDescent="0.25">
      <c r="A11" s="1"/>
      <c r="B11" s="24" t="s">
        <v>33</v>
      </c>
      <c r="C11" s="9">
        <v>7849.8504000000003</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717771.96632375941</v>
      </c>
      <c r="D16" s="8" t="s">
        <v>3</v>
      </c>
      <c r="E16" s="1"/>
    </row>
    <row r="17" spans="1:5" x14ac:dyDescent="0.25">
      <c r="A17" s="1"/>
      <c r="B17" s="24" t="s">
        <v>9</v>
      </c>
      <c r="C17" s="9">
        <v>-309067.98895544623</v>
      </c>
      <c r="D17" s="8" t="s">
        <v>3</v>
      </c>
      <c r="E17" s="1"/>
    </row>
    <row r="18" spans="1:5" x14ac:dyDescent="0.25">
      <c r="A18" s="1"/>
      <c r="B18" s="24" t="s">
        <v>21</v>
      </c>
      <c r="C18" s="9">
        <v>-165102.07189121196</v>
      </c>
      <c r="D18" s="8" t="s">
        <v>3</v>
      </c>
      <c r="E18" s="1"/>
    </row>
    <row r="19" spans="1:5" x14ac:dyDescent="0.25">
      <c r="A19" s="1"/>
      <c r="B19" s="24" t="s">
        <v>22</v>
      </c>
      <c r="C19" s="9">
        <v>0</v>
      </c>
      <c r="D19" s="8" t="s">
        <v>3</v>
      </c>
      <c r="E19" s="1"/>
    </row>
    <row r="20" spans="1:5" x14ac:dyDescent="0.25">
      <c r="A20" s="1"/>
      <c r="B20" s="73" t="s">
        <v>19</v>
      </c>
      <c r="C20" s="10">
        <v>20324868.999155737</v>
      </c>
      <c r="D20" s="11" t="s">
        <v>3</v>
      </c>
      <c r="E20" s="1"/>
    </row>
    <row r="21" spans="1:5" x14ac:dyDescent="0.25">
      <c r="A21" s="1"/>
      <c r="B21" s="52" t="s">
        <v>11</v>
      </c>
      <c r="C21" s="53"/>
      <c r="D21" s="19"/>
      <c r="E21" s="1"/>
    </row>
    <row r="22" spans="1:5" x14ac:dyDescent="0.25">
      <c r="A22" s="1"/>
      <c r="B22" s="54" t="s">
        <v>11</v>
      </c>
      <c r="C22" s="10">
        <v>11817935.256435839</v>
      </c>
      <c r="D22" s="11" t="s">
        <v>3</v>
      </c>
      <c r="E22" s="1"/>
    </row>
    <row r="23" spans="1:5" x14ac:dyDescent="0.25">
      <c r="A23" s="1"/>
      <c r="B23" s="52" t="s">
        <v>39</v>
      </c>
      <c r="C23" s="53"/>
      <c r="D23" s="19"/>
      <c r="E23" s="1"/>
    </row>
    <row r="24" spans="1:5" ht="1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79</v>
      </c>
      <c r="C26" s="9">
        <v>0</v>
      </c>
      <c r="D26" s="8" t="s">
        <v>3</v>
      </c>
      <c r="E26" s="1"/>
    </row>
    <row r="27" spans="1:5" ht="14.25" customHeight="1" x14ac:dyDescent="0.25">
      <c r="A27" s="1"/>
      <c r="B27" s="24" t="s">
        <v>80</v>
      </c>
      <c r="C27" s="9">
        <v>0</v>
      </c>
      <c r="D27" s="8" t="s">
        <v>3</v>
      </c>
      <c r="E27" s="1"/>
    </row>
    <row r="28" spans="1:5" ht="14.25" customHeight="1" x14ac:dyDescent="0.25">
      <c r="A28" s="1"/>
      <c r="B28" s="73" t="s">
        <v>40</v>
      </c>
      <c r="C28" s="10">
        <v>0</v>
      </c>
      <c r="D28" s="11" t="s">
        <v>3</v>
      </c>
      <c r="E28" s="1"/>
    </row>
    <row r="29" spans="1:5" x14ac:dyDescent="0.25">
      <c r="A29" s="1"/>
      <c r="B29" s="25" t="s">
        <v>65</v>
      </c>
      <c r="C29" s="53"/>
      <c r="D29" s="19"/>
      <c r="E29" s="1"/>
    </row>
    <row r="30" spans="1:5" x14ac:dyDescent="0.25">
      <c r="A30" s="1"/>
      <c r="B30" s="58" t="s">
        <v>66</v>
      </c>
      <c r="C30" s="10">
        <v>0</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52" t="s">
        <v>67</v>
      </c>
      <c r="C33" s="29">
        <v>32142804.255591579</v>
      </c>
      <c r="D33" s="19" t="s">
        <v>3</v>
      </c>
      <c r="E33" s="1"/>
    </row>
    <row r="34" spans="1:5" ht="30" customHeight="1" x14ac:dyDescent="0.25">
      <c r="A34" s="1"/>
      <c r="B34" s="96" t="s">
        <v>193</v>
      </c>
      <c r="C34" s="96"/>
      <c r="D34" s="96"/>
      <c r="E34" s="1"/>
    </row>
    <row r="35" spans="1:5" ht="27.75" customHeight="1"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G5mbEI/NbRprPUmQ0NpadscnEvzuHBXw3u1MjHQPMgiNvXm+ptJeGgM58HCvn9BlwbStUXn2uGqU4ecDHntGEA==" saltValue="x45+O9h4gmXBnTnlgz86bw=="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5" t="s">
        <v>53</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32"/>
      <c r="D7" s="1"/>
      <c r="E7" s="1"/>
    </row>
    <row r="8" spans="1:5" x14ac:dyDescent="0.25">
      <c r="A8" s="1"/>
      <c r="B8" s="97" t="s">
        <v>75</v>
      </c>
      <c r="C8" s="98"/>
      <c r="D8" s="99"/>
      <c r="E8" s="1"/>
    </row>
    <row r="9" spans="1:5" x14ac:dyDescent="0.25">
      <c r="A9" s="1"/>
      <c r="B9" s="56" t="s">
        <v>167</v>
      </c>
      <c r="C9" s="22">
        <v>8194749.8921177173</v>
      </c>
      <c r="D9" s="14" t="s">
        <v>3</v>
      </c>
      <c r="E9" s="1"/>
    </row>
    <row r="10" spans="1:5" x14ac:dyDescent="0.25">
      <c r="A10" s="1"/>
      <c r="B10" s="56" t="s">
        <v>110</v>
      </c>
      <c r="C10" s="22">
        <f>('Fane 3. Omkostninger i ØR2024'!C10+'Fane 3. Omkostninger i ØR2024'!C12+'Fane 3. Omkostninger i ØR2024'!C14)*(1+'Fane 13. Nøgletal'!C10)</f>
        <v>60353.70244288</v>
      </c>
      <c r="D10" s="14" t="s">
        <v>3</v>
      </c>
      <c r="E10" s="1"/>
    </row>
    <row r="11" spans="1:5" x14ac:dyDescent="0.25">
      <c r="A11" s="1"/>
      <c r="B11" s="56" t="s">
        <v>81</v>
      </c>
      <c r="C11" s="22">
        <f>C9*'Fane 13. Nøgletal'!C23+C10*'Fane 13. Nøgletal'!C23</f>
        <v>165102.07189121196</v>
      </c>
      <c r="D11" s="14" t="s">
        <v>3</v>
      </c>
      <c r="E11" s="1"/>
    </row>
    <row r="12" spans="1:5" x14ac:dyDescent="0.25">
      <c r="A12" s="1"/>
      <c r="B12" s="52"/>
      <c r="C12" s="31"/>
      <c r="D12" s="19"/>
      <c r="E12" s="1"/>
    </row>
    <row r="13" spans="1:5" x14ac:dyDescent="0.25">
      <c r="A13" s="1"/>
      <c r="B13" s="1"/>
      <c r="C13" s="32"/>
      <c r="D13" s="1"/>
      <c r="E13" s="1"/>
    </row>
    <row r="14" spans="1:5" x14ac:dyDescent="0.25">
      <c r="A14" s="1"/>
      <c r="B14" s="97" t="s">
        <v>153</v>
      </c>
      <c r="C14" s="98"/>
      <c r="D14" s="99"/>
      <c r="E14" s="1"/>
    </row>
    <row r="15" spans="1:5" x14ac:dyDescent="0.25">
      <c r="A15" s="1"/>
      <c r="B15" s="56" t="s">
        <v>168</v>
      </c>
      <c r="C15" s="22">
        <f>(C9+C10-C11)*(1+'Fane 13. Nøgletal'!C11)</f>
        <v>8626368.6236223653</v>
      </c>
      <c r="D15" s="14" t="s">
        <v>3</v>
      </c>
      <c r="E15" s="1"/>
    </row>
    <row r="16" spans="1:5" x14ac:dyDescent="0.25">
      <c r="A16" s="1"/>
      <c r="B16" s="56" t="s">
        <v>154</v>
      </c>
      <c r="C16" s="22">
        <f>('Fane 2.1. Økonomisk ramme 2025'!C10+'Fane 2.1. Økonomisk ramme 2025'!C12+'Fane 2.1. Økonomisk ramme 2025'!C14)*(1+'Fane 13. Nøgletal'!C11)</f>
        <v>9366.411314823401</v>
      </c>
      <c r="D16" s="14" t="s">
        <v>3</v>
      </c>
      <c r="E16" s="1"/>
    </row>
    <row r="17" spans="1:5" x14ac:dyDescent="0.25">
      <c r="A17" s="1"/>
      <c r="B17" s="56" t="s">
        <v>155</v>
      </c>
      <c r="C17" s="22">
        <f>(C15+C16)*'Fane 13. Nøgletal'!C23</f>
        <v>172714.70069874378</v>
      </c>
      <c r="D17" s="14" t="s">
        <v>3</v>
      </c>
      <c r="E17" s="1"/>
    </row>
    <row r="18" spans="1:5" x14ac:dyDescent="0.25">
      <c r="A18" s="1"/>
      <c r="B18" s="52"/>
      <c r="C18" s="31"/>
      <c r="D18" s="19"/>
      <c r="E18" s="1"/>
    </row>
    <row r="19" spans="1:5" x14ac:dyDescent="0.25">
      <c r="A19" s="1"/>
      <c r="B19" s="1"/>
      <c r="C19" s="32"/>
      <c r="D19" s="1"/>
      <c r="E19" s="1"/>
    </row>
    <row r="20" spans="1:5" x14ac:dyDescent="0.25">
      <c r="A20" s="1"/>
      <c r="B20" s="97" t="s">
        <v>170</v>
      </c>
      <c r="C20" s="98"/>
      <c r="D20" s="99"/>
      <c r="E20" s="1"/>
    </row>
    <row r="21" spans="1:5" x14ac:dyDescent="0.25">
      <c r="A21" s="1"/>
      <c r="B21" s="56" t="s">
        <v>169</v>
      </c>
      <c r="C21" s="48">
        <f>(C15+C16-C17)*(1+'Fane 13. Nøgletal'!C11)</f>
        <v>9024118.5823984519</v>
      </c>
      <c r="D21" s="14" t="s">
        <v>3</v>
      </c>
      <c r="E21" s="1"/>
    </row>
    <row r="22" spans="1:5" x14ac:dyDescent="0.25">
      <c r="A22" s="1"/>
      <c r="B22" s="56" t="s">
        <v>171</v>
      </c>
      <c r="C22" s="48">
        <f>(C21)*'Fane 13. Nøgletal'!C23</f>
        <v>180482.37164796903</v>
      </c>
      <c r="D22" s="14" t="s">
        <v>3</v>
      </c>
      <c r="E22" s="1"/>
    </row>
    <row r="23" spans="1:5" x14ac:dyDescent="0.25">
      <c r="A23" s="1"/>
      <c r="B23" s="52"/>
      <c r="C23" s="31"/>
      <c r="D23" s="19"/>
      <c r="E23" s="1"/>
    </row>
    <row r="24" spans="1:5" x14ac:dyDescent="0.25">
      <c r="A24" s="1"/>
      <c r="B24" s="1"/>
      <c r="C24" s="32"/>
      <c r="D24" s="1"/>
      <c r="E24" s="1"/>
    </row>
    <row r="25" spans="1:5" x14ac:dyDescent="0.25">
      <c r="A25" s="1"/>
      <c r="B25" s="97" t="s">
        <v>116</v>
      </c>
      <c r="C25" s="98"/>
      <c r="D25" s="99"/>
      <c r="E25" s="1"/>
    </row>
    <row r="26" spans="1:5" x14ac:dyDescent="0.25">
      <c r="A26" s="1"/>
      <c r="B26" s="56" t="s">
        <v>117</v>
      </c>
      <c r="C26" s="48">
        <f>(C21-C22)*(1+'Fane 13. Nøgletal'!C11)</f>
        <v>9429969.2915232405</v>
      </c>
      <c r="D26" s="14" t="s">
        <v>3</v>
      </c>
      <c r="E26" s="1"/>
    </row>
    <row r="27" spans="1:5" x14ac:dyDescent="0.25">
      <c r="A27" s="1"/>
      <c r="B27" s="56" t="s">
        <v>118</v>
      </c>
      <c r="C27" s="48">
        <f>(C26)*'Fane 13. Nøgletal'!C23</f>
        <v>188599.3858304648</v>
      </c>
      <c r="D27" s="14" t="s">
        <v>3</v>
      </c>
      <c r="E27" s="1"/>
    </row>
    <row r="28" spans="1:5" x14ac:dyDescent="0.25">
      <c r="A28" s="1"/>
      <c r="B28" s="52"/>
      <c r="C28" s="42"/>
      <c r="D28" s="19"/>
      <c r="E28" s="1"/>
    </row>
    <row r="29" spans="1:5" x14ac:dyDescent="0.25">
      <c r="A29" s="1"/>
      <c r="B29" s="1"/>
      <c r="C29" s="32"/>
      <c r="D29" s="1"/>
      <c r="E29" s="1"/>
    </row>
    <row r="30" spans="1:5" x14ac:dyDescent="0.25">
      <c r="A30" s="1"/>
      <c r="B30" s="97" t="s">
        <v>136</v>
      </c>
      <c r="C30" s="98"/>
      <c r="D30" s="99"/>
      <c r="E30" s="1"/>
    </row>
    <row r="31" spans="1:5" x14ac:dyDescent="0.25">
      <c r="A31" s="1"/>
      <c r="B31" s="56" t="s">
        <v>137</v>
      </c>
      <c r="C31" s="48">
        <f>(C26-C27)*(1+'Fane 13. Nøgletal'!C11)</f>
        <v>9854072.7304402068</v>
      </c>
      <c r="D31" s="14" t="s">
        <v>3</v>
      </c>
      <c r="E31" s="1"/>
    </row>
    <row r="32" spans="1:5" x14ac:dyDescent="0.25">
      <c r="A32" s="1"/>
      <c r="B32" s="56" t="s">
        <v>138</v>
      </c>
      <c r="C32" s="48">
        <f>(C31)*'Fane 13. Nøgletal'!C23</f>
        <v>197081.45460880414</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WnJm6bedaeuCh184HXSEg7T/Ye7T0oZ4l0gtZo0350yoBBU1Ayz2r3OvkxfAGoUWVUHpBg+JqiG7dX2Z5HS+RQ==" saltValue="VFQ6P3Rxt2DR9TS2wQvqeA=="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0" t="s">
        <v>54</v>
      </c>
      <c r="C3" s="101"/>
      <c r="D3" s="101"/>
      <c r="E3" s="1"/>
    </row>
    <row r="4" spans="1:5" ht="15" customHeight="1" x14ac:dyDescent="0.25">
      <c r="A4" s="1"/>
      <c r="B4" s="101"/>
      <c r="C4" s="101"/>
      <c r="D4" s="101"/>
      <c r="E4" s="1"/>
    </row>
    <row r="5" spans="1:5" ht="15" customHeight="1" x14ac:dyDescent="0.25">
      <c r="A5" s="1"/>
      <c r="B5" s="101"/>
      <c r="C5" s="101"/>
      <c r="D5" s="101"/>
      <c r="E5" s="1"/>
    </row>
    <row r="6" spans="1:5" ht="15" customHeight="1" x14ac:dyDescent="0.25">
      <c r="A6" s="1"/>
      <c r="B6" s="1"/>
      <c r="C6" s="1"/>
      <c r="D6" s="1"/>
      <c r="E6" s="1"/>
    </row>
    <row r="7" spans="1:5" ht="15" customHeight="1" x14ac:dyDescent="0.25">
      <c r="A7" s="1"/>
      <c r="B7" s="1"/>
      <c r="C7" s="1"/>
      <c r="D7" s="1"/>
      <c r="E7" s="1"/>
    </row>
    <row r="8" spans="1:5" x14ac:dyDescent="0.25">
      <c r="A8" s="1"/>
      <c r="B8" s="97" t="s">
        <v>76</v>
      </c>
      <c r="C8" s="98"/>
      <c r="D8" s="99"/>
      <c r="E8" s="1"/>
    </row>
    <row r="9" spans="1:5" x14ac:dyDescent="0.25">
      <c r="A9" s="1"/>
      <c r="B9" s="56" t="s">
        <v>162</v>
      </c>
      <c r="C9" s="48">
        <v>14378705.1417627</v>
      </c>
      <c r="D9" s="14" t="s">
        <v>3</v>
      </c>
      <c r="E9" s="1"/>
    </row>
    <row r="10" spans="1:5" x14ac:dyDescent="0.25">
      <c r="A10" s="1"/>
      <c r="B10" s="56" t="s">
        <v>113</v>
      </c>
      <c r="C10" s="48">
        <f>('Fane 3. Omkostninger i ØR2024'!C11+'Fane 3. Omkostninger i ØR2024'!C13+'Fane 3. Omkostninger i ØR2024'!C15)*(1+'Fane 13. Nøgletal'!C10)</f>
        <v>8484.1183123200008</v>
      </c>
      <c r="D10" s="14" t="s">
        <v>3</v>
      </c>
      <c r="E10" s="1"/>
    </row>
    <row r="11" spans="1:5" x14ac:dyDescent="0.25">
      <c r="A11" s="1"/>
      <c r="B11" s="56" t="s">
        <v>114</v>
      </c>
      <c r="C11" s="48">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7" t="s">
        <v>156</v>
      </c>
      <c r="C14" s="98"/>
      <c r="D14" s="99"/>
      <c r="E14" s="1"/>
    </row>
    <row r="15" spans="1:5" x14ac:dyDescent="0.25">
      <c r="A15" s="1"/>
      <c r="B15" s="56" t="s">
        <v>163</v>
      </c>
      <c r="C15" s="48">
        <f>(C9+C10-C11)*(1+'Fane 13. Nøgletal'!C11)</f>
        <v>15341059.908017993</v>
      </c>
      <c r="D15" s="14" t="s">
        <v>3</v>
      </c>
      <c r="E15" s="1"/>
    </row>
    <row r="16" spans="1:5" x14ac:dyDescent="0.25">
      <c r="A16" s="1"/>
      <c r="B16" s="56" t="s">
        <v>157</v>
      </c>
      <c r="C16" s="48">
        <f>('Fane 2.1. Økonomisk ramme 2025'!C11+'Fane 2.1. Økonomisk ramme 2025'!C13+'Fane 2.1. Økonomisk ramme 2025'!C15)*(1+'Fane 13. Nøgletal'!C11)</f>
        <v>46464.318058100296</v>
      </c>
      <c r="D16" s="14" t="s">
        <v>3</v>
      </c>
      <c r="E16" s="1"/>
    </row>
    <row r="17" spans="1:5" x14ac:dyDescent="0.25">
      <c r="A17" s="1"/>
      <c r="B17" s="56" t="s">
        <v>158</v>
      </c>
      <c r="C17" s="48">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7" t="s">
        <v>166</v>
      </c>
      <c r="C20" s="98"/>
      <c r="D20" s="99"/>
      <c r="E20" s="1"/>
    </row>
    <row r="21" spans="1:5" x14ac:dyDescent="0.25">
      <c r="A21" s="1"/>
      <c r="B21" s="56" t="s">
        <v>164</v>
      </c>
      <c r="C21" s="48">
        <f>(C15+C16-C17)*(1+'Fane 13. Nøgletal'!C11)</f>
        <v>16407717.082264937</v>
      </c>
      <c r="D21" s="14" t="s">
        <v>3</v>
      </c>
      <c r="E21" s="1"/>
    </row>
    <row r="22" spans="1:5" x14ac:dyDescent="0.25">
      <c r="A22" s="1"/>
      <c r="B22" s="56" t="s">
        <v>165</v>
      </c>
      <c r="C22" s="48">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7" t="s">
        <v>119</v>
      </c>
      <c r="C25" s="98"/>
      <c r="D25" s="99"/>
      <c r="E25" s="1"/>
    </row>
    <row r="26" spans="1:5" x14ac:dyDescent="0.25">
      <c r="A26" s="1"/>
      <c r="B26" s="56" t="s">
        <v>120</v>
      </c>
      <c r="C26" s="48">
        <f>(C21-C22)*(1+'Fane 13. Nøgletal'!C11)</f>
        <v>17495548.724819101</v>
      </c>
      <c r="D26" s="14" t="s">
        <v>3</v>
      </c>
      <c r="E26" s="1"/>
    </row>
    <row r="27" spans="1:5" x14ac:dyDescent="0.25">
      <c r="A27" s="1"/>
      <c r="B27" s="56" t="s">
        <v>121</v>
      </c>
      <c r="C27" s="48">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7" t="s">
        <v>139</v>
      </c>
      <c r="C30" s="98"/>
      <c r="D30" s="99"/>
      <c r="E30" s="1"/>
    </row>
    <row r="31" spans="1:5" x14ac:dyDescent="0.25">
      <c r="A31" s="1"/>
      <c r="B31" s="56" t="s">
        <v>140</v>
      </c>
      <c r="C31" s="48">
        <f>(C26-C27)*(1+'Fane 13. Nøgletal'!C11)</f>
        <v>18655503.605274606</v>
      </c>
      <c r="D31" s="14" t="s">
        <v>3</v>
      </c>
      <c r="E31" s="1"/>
    </row>
    <row r="32" spans="1:5" x14ac:dyDescent="0.25">
      <c r="A32" s="1"/>
      <c r="B32" s="56" t="s">
        <v>141</v>
      </c>
      <c r="C32" s="48">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2bbtiT38szBysu0nC+v/+NZLM0N73OeFswztKrUvSdCcJlNq8l4KmeT8Raocmx4DLpbiCy8p3/ayjoqdWCAufw==" saltValue="nxhQx80zMom+oaUPPU3Bz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3" t="s">
        <v>41</v>
      </c>
      <c r="C3" s="93"/>
      <c r="D3" s="1"/>
    </row>
    <row r="4" spans="1:4" ht="15" customHeight="1" x14ac:dyDescent="0.25">
      <c r="A4" s="1"/>
      <c r="B4" s="93"/>
      <c r="C4" s="9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7" t="s">
        <v>9</v>
      </c>
      <c r="C8" s="99"/>
      <c r="D8" s="1"/>
    </row>
    <row r="9" spans="1:4" x14ac:dyDescent="0.25">
      <c r="A9" s="1"/>
      <c r="B9" s="56" t="s">
        <v>160</v>
      </c>
      <c r="C9" s="44">
        <v>0</v>
      </c>
      <c r="D9" s="1"/>
    </row>
    <row r="10" spans="1:4" x14ac:dyDescent="0.25">
      <c r="A10" s="1"/>
      <c r="B10" s="52"/>
      <c r="C10" s="19"/>
      <c r="D10" s="1"/>
    </row>
    <row r="11" spans="1:4" ht="15" customHeight="1" x14ac:dyDescent="0.25">
      <c r="A11" s="1"/>
      <c r="B11" s="102" t="s">
        <v>161</v>
      </c>
      <c r="C11" s="103"/>
      <c r="D11" s="1"/>
    </row>
    <row r="12" spans="1:4" ht="13.5" customHeight="1" x14ac:dyDescent="0.25">
      <c r="A12" s="1"/>
      <c r="B12" s="104"/>
      <c r="C12" s="10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BAPuhKTlD86OugobkhJO7ZbgkxbbAVcTzP67Xned0BOpK/FlFOL3Xq3VuP3ooyzsJuQeksewizwJWzTAvwEApw==" saltValue="2P2GqPSkNIYjv3iyu0mZh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2024-10-08T06:56:58Z</dcterms:modified>
</cp:coreProperties>
</file>