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Assens Spildevand AS (S00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2" i="20" l="1"/>
  <c r="G35" i="36"/>
  <c r="G31" i="36"/>
  <c r="G11" i="36"/>
  <c r="G13" i="30"/>
  <c r="G33" i="11"/>
  <c r="E33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16" i="40"/>
  <c r="E12" i="40"/>
  <c r="C14" i="19"/>
  <c r="E28" i="32"/>
  <c r="E38" i="32"/>
  <c r="E32" i="32"/>
  <c r="C30" i="2"/>
  <c r="E20" i="32"/>
  <c r="E12" i="32"/>
  <c r="E16" i="27"/>
  <c r="E17" i="27"/>
  <c r="E31" i="11"/>
  <c r="E32" i="11"/>
  <c r="E10" i="11"/>
  <c r="G8" i="30"/>
  <c r="E29" i="20"/>
  <c r="E23" i="20"/>
  <c r="E17" i="20"/>
  <c r="E11" i="20"/>
  <c r="E40" i="32"/>
  <c r="C26" i="22"/>
  <c r="C26" i="15"/>
  <c r="E17" i="40"/>
  <c r="E28" i="20"/>
  <c r="E30" i="20"/>
  <c r="E22" i="20"/>
  <c r="E16" i="20"/>
  <c r="E10" i="20"/>
  <c r="E24" i="20"/>
  <c r="C20" i="22"/>
  <c r="E18" i="20"/>
  <c r="C20" i="15"/>
  <c r="C24" i="2"/>
  <c r="C20" i="23"/>
  <c r="C32" i="2"/>
  <c r="E29" i="21"/>
  <c r="E30" i="21"/>
  <c r="G48" i="36"/>
  <c r="C29" i="21"/>
  <c r="C30" i="21"/>
  <c r="G53" i="30"/>
  <c r="E23" i="21"/>
  <c r="E24" i="21"/>
  <c r="G42" i="36"/>
  <c r="C23" i="21"/>
  <c r="C24" i="21"/>
  <c r="G45" i="30"/>
  <c r="E17" i="21"/>
  <c r="E18" i="21"/>
  <c r="G36" i="36"/>
  <c r="C17" i="21"/>
  <c r="C18" i="21"/>
  <c r="G39" i="30"/>
  <c r="C11" i="15"/>
  <c r="C10" i="22"/>
  <c r="C11" i="22"/>
  <c r="C10" i="15"/>
  <c r="C10" i="23"/>
  <c r="C11" i="23"/>
  <c r="E35" i="39"/>
  <c r="C35" i="39"/>
  <c r="E27" i="39"/>
  <c r="C27" i="39"/>
  <c r="E19" i="39"/>
  <c r="E21" i="39"/>
  <c r="C19" i="39"/>
  <c r="C21" i="39"/>
  <c r="E11" i="39"/>
  <c r="E13" i="39"/>
  <c r="C11" i="39"/>
  <c r="C13" i="39"/>
  <c r="E37" i="39"/>
  <c r="E36" i="39"/>
  <c r="C37" i="39"/>
  <c r="C36" i="39"/>
  <c r="E29" i="39"/>
  <c r="E28" i="39"/>
  <c r="C29" i="39"/>
  <c r="C28" i="39"/>
  <c r="E20" i="39"/>
  <c r="E12" i="39"/>
  <c r="C20" i="39"/>
  <c r="C12" i="39"/>
  <c r="C14" i="39"/>
  <c r="C30" i="39"/>
  <c r="C22" i="22"/>
  <c r="C38" i="39"/>
  <c r="C22" i="23"/>
  <c r="E30" i="39"/>
  <c r="C23" i="22"/>
  <c r="E38" i="39"/>
  <c r="C23" i="23"/>
  <c r="E22" i="39"/>
  <c r="C23" i="15"/>
  <c r="C22" i="39"/>
  <c r="C22" i="15"/>
  <c r="E14" i="39"/>
  <c r="C27" i="2"/>
  <c r="C26" i="2"/>
  <c r="C24" i="23"/>
  <c r="C24" i="22"/>
  <c r="C27" i="22"/>
  <c r="C24" i="15"/>
  <c r="C28" i="2"/>
  <c r="G6" i="36"/>
  <c r="G10" i="36"/>
  <c r="G13" i="36"/>
  <c r="G12" i="30"/>
  <c r="G17" i="36"/>
  <c r="G19" i="36"/>
  <c r="G16" i="30"/>
  <c r="G20" i="30"/>
  <c r="G23" i="36"/>
  <c r="G25" i="36"/>
  <c r="G22" i="30"/>
  <c r="G29" i="36"/>
  <c r="E19" i="27"/>
  <c r="G26" i="30"/>
  <c r="F33" i="11"/>
  <c r="C10" i="37"/>
  <c r="C12" i="37"/>
  <c r="C13" i="37"/>
  <c r="C10" i="2"/>
  <c r="E11" i="21"/>
  <c r="E12" i="21"/>
  <c r="C11" i="21"/>
  <c r="C12" i="21"/>
  <c r="E11" i="29"/>
  <c r="E12" i="29"/>
  <c r="C11" i="29"/>
  <c r="C12" i="29"/>
  <c r="C15" i="19"/>
  <c r="C18" i="23"/>
  <c r="C18" i="15"/>
  <c r="C18" i="22"/>
  <c r="C15" i="2"/>
  <c r="C14" i="2"/>
  <c r="C22" i="2"/>
  <c r="C12" i="2"/>
  <c r="G33" i="30"/>
  <c r="C13" i="2"/>
  <c r="G28" i="30"/>
  <c r="E18" i="27"/>
  <c r="E20" i="27"/>
  <c r="E35" i="27"/>
  <c r="C9" i="2"/>
  <c r="G32" i="30"/>
  <c r="E10" i="37"/>
  <c r="E12" i="37"/>
  <c r="E13" i="37"/>
  <c r="C11" i="2"/>
  <c r="G34" i="30"/>
  <c r="G38" i="30"/>
  <c r="G40" i="30"/>
  <c r="C18" i="2"/>
  <c r="C16" i="2"/>
  <c r="C17" i="2"/>
  <c r="G30" i="36"/>
  <c r="C19" i="2"/>
  <c r="G44" i="30"/>
  <c r="C14" i="15"/>
  <c r="C20" i="2"/>
  <c r="C33" i="2"/>
  <c r="C9" i="15"/>
  <c r="C12" i="15"/>
  <c r="G46" i="30"/>
  <c r="G52" i="30"/>
  <c r="G54" i="30"/>
  <c r="C14" i="23"/>
  <c r="C14" i="22"/>
  <c r="G37" i="36"/>
  <c r="C13" i="15"/>
  <c r="G41" i="36"/>
  <c r="G43" i="36"/>
  <c r="C15" i="15"/>
  <c r="C16" i="15"/>
  <c r="G47" i="36"/>
  <c r="G49" i="36"/>
  <c r="C15" i="23"/>
  <c r="C15" i="22"/>
  <c r="C27" i="15"/>
  <c r="C9" i="22"/>
  <c r="C12" i="22"/>
  <c r="C13" i="22"/>
  <c r="C16" i="22"/>
  <c r="C9" i="23"/>
  <c r="C12" i="23"/>
  <c r="C13" i="23"/>
  <c r="C16" i="23"/>
  <c r="C25" i="23"/>
</calcChain>
</file>

<file path=xl/sharedStrings.xml><?xml version="1.0" encoding="utf-8"?>
<sst xmlns="http://schemas.openxmlformats.org/spreadsheetml/2006/main" count="754" uniqueCount="287">
  <si>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</si>
  <si>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</si>
  <si>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</si>
  <si>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</si>
  <si>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</si>
  <si>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</si>
  <si>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</si>
  <si>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</si>
  <si>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</si>
  <si>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</si>
  <si>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</si>
  <si>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</si>
  <si>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</si>
  <si>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</si>
  <si>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</si>
  <si>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</si>
  <si>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</si>
  <si>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</si>
  <si>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</si>
  <si>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</si>
  <si>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</si>
  <si>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</si>
  <si>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</si>
  <si>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</si>
  <si>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</si>
  <si>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</si>
  <si>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</si>
  <si>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</si>
  <si>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</si>
  <si>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</si>
  <si>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</si>
  <si>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</si>
  <si>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</si>
  <si>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</si>
  <si>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</si>
  <si>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</si>
  <si>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</si>
  <si>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</si>
  <si>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</si>
  <si>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</si>
  <si>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</si>
  <si>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</si>
  <si>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</si>
  <si>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</si>
  <si>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</si>
  <si>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</si>
  <si>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</si>
  <si>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</si>
  <si>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</si>
  <si>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</si>
  <si>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</si>
  <si>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</si>
  <si>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</si>
  <si>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</si>
  <si>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</si>
  <si>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</si>
  <si>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</si>
  <si>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</si>
  <si>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</si>
  <si>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</si>
  <si>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</si>
  <si>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</si>
  <si>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</si>
  <si>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</si>
  <si>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</si>
  <si>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</si>
  <si>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</si>
  <si>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</si>
  <si>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</si>
  <si>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</si>
  <si>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</si>
  <si>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</si>
  <si>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</si>
  <si>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</si>
  <si>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</si>
  <si>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</si>
  <si>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</si>
  <si>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</si>
  <si>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</si>
  <si>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</si>
  <si>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</si>
  <si>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</si>
  <si>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</si>
  <si>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</si>
  <si>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</si>
  <si>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</si>
  <si>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</si>
  <si>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</si>
  <si>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</si>
  <si>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</si>
  <si>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</si>
  <si>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</si>
  <si>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</si>
  <si>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</si>
  <si>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</si>
  <si>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</si>
  <si>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</si>
  <si>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</si>
  <si>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</si>
  <si>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</si>
  <si>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</si>
  <si>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</si>
  <si>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</si>
  <si>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</si>
  <si>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</si>
  <si>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</si>
  <si>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</si>
  <si>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</si>
  <si>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</si>
  <si>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</si>
  <si>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</si>
  <si>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</si>
  <si>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</si>
  <si>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</si>
  <si>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</si>
  <si>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</si>
  <si>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</si>
  <si>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</si>
  <si>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</si>
  <si>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</si>
  <si>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</si>
  <si>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</si>
  <si>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</si>
  <si>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</si>
  <si>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</si>
  <si>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</si>
  <si>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</si>
  <si>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</si>
  <si>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</si>
  <si>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</si>
  <si>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</si>
  <si>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</si>
  <si>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</si>
  <si>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</si>
  <si>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</si>
  <si>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</si>
  <si>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</si>
  <si>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</si>
  <si>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</si>
  <si>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</si>
  <si>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</si>
  <si>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</si>
  <si>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</si>
  <si>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</si>
  <si>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</si>
  <si>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</si>
  <si>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</si>
  <si>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</si>
  <si>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</si>
  <si>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</si>
  <si>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</si>
  <si>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</si>
  <si>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</si>
  <si>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</si>
  <si>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</si>
  <si>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</si>
  <si>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</si>
  <si>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</si>
  <si>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</si>
  <si>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</si>
  <si>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</si>
  <si>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</si>
  <si>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</si>
  <si>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</si>
  <si>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</si>
  <si>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</si>
  <si>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</si>
  <si>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</si>
  <si>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</si>
  <si>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</si>
  <si>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</si>
  <si>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</si>
  <si>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</si>
  <si>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</si>
  <si>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</si>
  <si>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</si>
  <si>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</si>
  <si>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</si>
  <si>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</si>
  <si>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</si>
  <si>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</si>
  <si>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</si>
  <si>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</si>
  <si>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</si>
  <si>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</si>
  <si>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</si>
  <si>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</si>
  <si>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</si>
  <si>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</si>
  <si>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</si>
  <si>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</si>
  <si>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</si>
  <si>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</si>
  <si>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</si>
  <si>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</si>
  <si>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</si>
  <si>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</si>
  <si>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</si>
  <si>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</si>
  <si>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</si>
  <si>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</si>
  <si>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</si>
  <si>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</si>
  <si>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</si>
  <si>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</si>
  <si>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</si>
  <si>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</si>
  <si>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</si>
  <si>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</si>
  <si>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</si>
  <si>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</si>
  <si>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</si>
  <si>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</si>
  <si>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</si>
  <si>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</si>
  <si>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</si>
  <si>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</si>
  <si>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</si>
  <si>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</si>
  <si>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</si>
  <si>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</si>
  <si>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</si>
  <si>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</si>
  <si>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</si>
  <si>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</si>
  <si>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</si>
  <si>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</si>
  <si>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</si>
  <si>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</si>
  <si>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</si>
  <si>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</si>
  <si>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</si>
  <si>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</si>
  <si>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</si>
  <si>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</si>
  <si>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</si>
  <si>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</si>
  <si>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</si>
  <si>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</si>
  <si>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</si>
  <si>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</si>
  <si>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</si>
  <si>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</si>
  <si>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</si>
  <si>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</si>
  <si>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</si>
  <si>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</si>
  <si>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</si>
  <si>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</si>
  <si>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</si>
  <si>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</si>
  <si>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</si>
  <si>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</si>
  <si>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</si>
  <si>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</si>
  <si>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</si>
  <si>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</si>
  <si>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</si>
  <si>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</si>
  <si>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</si>
  <si>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</si>
  <si>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</si>
  <si>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</si>
  <si>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</si>
  <si>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</si>
  <si>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Ingen tilknyttet virksomhed</t>
  </si>
  <si>
    <t>Ingen bortfald eller nedsættelse</t>
  </si>
  <si>
    <t>Afgift til Forsyningssekretariatet</t>
  </si>
  <si>
    <t>Køb af ydelser og produkter fra andre vandselskaber reguleret af vandsektorloven</t>
  </si>
  <si>
    <t>Ejendomsskatter</t>
  </si>
  <si>
    <t>Erstatninger</t>
  </si>
  <si>
    <t>Flytning af forsyningsledninger</t>
  </si>
  <si>
    <t>Ingen engangstillæg</t>
  </si>
  <si>
    <t>Jordbassin Klasse A</t>
  </si>
  <si>
    <t>50</t>
  </si>
  <si>
    <t>Kælder (&lt; 7 m2)</t>
  </si>
  <si>
    <t>75</t>
  </si>
  <si>
    <t>Brønde</t>
  </si>
  <si>
    <t>Stik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</si>
  <si>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</si>
  <si>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</si>
  <si>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</si>
  <si>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</si>
  <si>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Ø 1000 mm &lt; Ledningsnet ≤ Ø 1200 mm</t>
  </si>
  <si>
    <t>Yderligere opkrævningsret efter § 17, stk. 10 - 2017</t>
  </si>
  <si>
    <t>Yderligere opkrævningsret efter § 17, stk. 10 - 2018</t>
  </si>
  <si>
    <t>Periodevise driftsomkostninger i alt i 2018-prisniveau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</si>
</sst>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0" fillId="0" borderId="0" xfId="0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8" borderId="1" xfId="1" applyNumberFormat="1" applyFont="1" applyFill="1" applyBorder="1" applyProtection="1"/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4" t="s">
        <v>4</v>
      </c>
      <c r="E6" s="64"/>
      <c r="F6" s="64"/>
      <c r="G6" s="64"/>
      <c r="H6" s="3"/>
      <c r="I6" s="1"/>
    </row>
    <row r="7" spans="1:9" ht="15" customHeight="1" x14ac:dyDescent="0.25">
      <c r="A7" s="1"/>
      <c r="B7" s="1"/>
      <c r="C7" s="3"/>
      <c r="D7" s="64"/>
      <c r="E7" s="64"/>
      <c r="F7" s="64"/>
      <c r="G7" s="64"/>
      <c r="H7" s="3"/>
      <c r="I7" s="1"/>
    </row>
    <row r="8" spans="1:9" ht="15.75" x14ac:dyDescent="0.25">
      <c r="A8" s="1"/>
      <c r="B8" s="1"/>
      <c r="C8" s="4"/>
      <c r="D8" s="72" t="s">
        <v>226</v>
      </c>
      <c r="E8" s="72"/>
      <c r="F8" s="72"/>
      <c r="G8" s="7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1" t="s">
        <v>43</v>
      </c>
      <c r="E13" s="62"/>
      <c r="F13" s="62"/>
      <c r="G13" s="63"/>
      <c r="H13" s="1"/>
      <c r="I13" s="1"/>
    </row>
    <row r="14" spans="1:9" x14ac:dyDescent="0.25">
      <c r="A14" s="1"/>
      <c r="B14" s="1"/>
      <c r="C14" s="6" t="s">
        <v>17</v>
      </c>
      <c r="D14" s="61" t="s">
        <v>254</v>
      </c>
      <c r="E14" s="62"/>
      <c r="F14" s="62"/>
      <c r="G14" s="63"/>
      <c r="H14" s="1"/>
      <c r="I14" s="1"/>
    </row>
    <row r="15" spans="1:9" x14ac:dyDescent="0.25">
      <c r="A15" s="1"/>
      <c r="B15" s="1"/>
      <c r="C15" s="6" t="s">
        <v>41</v>
      </c>
      <c r="D15" s="61" t="s">
        <v>107</v>
      </c>
      <c r="E15" s="62"/>
      <c r="F15" s="62"/>
      <c r="G15" s="63"/>
      <c r="H15" s="1"/>
      <c r="I15" s="1"/>
    </row>
    <row r="16" spans="1:9" x14ac:dyDescent="0.25">
      <c r="A16" s="1"/>
      <c r="B16" s="1"/>
      <c r="C16" s="6" t="s">
        <v>42</v>
      </c>
      <c r="D16" s="61" t="s">
        <v>214</v>
      </c>
      <c r="E16" s="62"/>
      <c r="F16" s="62"/>
      <c r="G16" s="63"/>
      <c r="H16" s="1"/>
      <c r="I16" s="1"/>
    </row>
    <row r="17" spans="1:9" x14ac:dyDescent="0.25">
      <c r="A17" s="1"/>
      <c r="B17" s="1"/>
      <c r="C17" s="6" t="s">
        <v>180</v>
      </c>
      <c r="D17" s="61" t="s">
        <v>215</v>
      </c>
      <c r="E17" s="62"/>
      <c r="F17" s="62"/>
      <c r="G17" s="63"/>
      <c r="H17" s="1"/>
      <c r="I17" s="1"/>
    </row>
    <row r="18" spans="1:9" x14ac:dyDescent="0.25">
      <c r="A18" s="1"/>
      <c r="B18" s="1"/>
      <c r="C18" s="6" t="s">
        <v>157</v>
      </c>
      <c r="D18" s="73" t="s">
        <v>135</v>
      </c>
      <c r="E18" s="74"/>
      <c r="F18" s="74"/>
      <c r="G18" s="75"/>
      <c r="H18" s="1"/>
      <c r="I18" s="1"/>
    </row>
    <row r="19" spans="1:9" x14ac:dyDescent="0.25">
      <c r="A19" s="1"/>
      <c r="B19" s="1"/>
      <c r="C19" s="6" t="s">
        <v>158</v>
      </c>
      <c r="D19" s="73" t="s">
        <v>136</v>
      </c>
      <c r="E19" s="74"/>
      <c r="F19" s="74"/>
      <c r="G19" s="75"/>
      <c r="H19" s="1"/>
      <c r="I19" s="1"/>
    </row>
    <row r="20" spans="1:9" x14ac:dyDescent="0.25">
      <c r="A20" s="1"/>
      <c r="B20" s="1"/>
      <c r="C20" s="6" t="s">
        <v>7</v>
      </c>
      <c r="D20" s="73" t="s">
        <v>10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159</v>
      </c>
      <c r="D21" s="65" t="s">
        <v>13</v>
      </c>
      <c r="E21" s="66"/>
      <c r="F21" s="66"/>
      <c r="G21" s="67"/>
      <c r="H21" s="1"/>
      <c r="I21" s="1"/>
    </row>
    <row r="22" spans="1:9" x14ac:dyDescent="0.25">
      <c r="A22" s="1"/>
      <c r="B22" s="1"/>
      <c r="C22" s="6" t="s">
        <v>111</v>
      </c>
      <c r="D22" s="68" t="s">
        <v>255</v>
      </c>
      <c r="E22" s="69"/>
      <c r="F22" s="69"/>
      <c r="G22" s="70"/>
      <c r="H22" s="1"/>
      <c r="I22" s="1"/>
    </row>
    <row r="23" spans="1:9" x14ac:dyDescent="0.25">
      <c r="A23" s="1"/>
      <c r="B23" s="1"/>
      <c r="C23" s="6" t="s">
        <v>8</v>
      </c>
      <c r="D23" s="68" t="s">
        <v>184</v>
      </c>
      <c r="E23" s="69"/>
      <c r="F23" s="69"/>
      <c r="G23" s="70"/>
      <c r="H23" s="1"/>
      <c r="I23" s="1"/>
    </row>
    <row r="24" spans="1:9" x14ac:dyDescent="0.25">
      <c r="A24" s="1"/>
      <c r="B24" s="1"/>
      <c r="C24" s="6" t="s">
        <v>9</v>
      </c>
      <c r="D24" s="68" t="s">
        <v>44</v>
      </c>
      <c r="E24" s="69"/>
      <c r="F24" s="69"/>
      <c r="G24" s="70"/>
      <c r="H24" s="1"/>
      <c r="I24" s="1"/>
    </row>
    <row r="25" spans="1:9" x14ac:dyDescent="0.25">
      <c r="A25" s="1"/>
      <c r="B25" s="1"/>
      <c r="C25" s="6" t="s">
        <v>160</v>
      </c>
      <c r="D25" s="68" t="s">
        <v>112</v>
      </c>
      <c r="E25" s="69"/>
      <c r="F25" s="69"/>
      <c r="G25" s="70"/>
      <c r="H25" s="1"/>
      <c r="I25" s="1"/>
    </row>
    <row r="26" spans="1:9" x14ac:dyDescent="0.25">
      <c r="A26" s="1"/>
      <c r="B26" s="1"/>
      <c r="C26" s="6" t="s">
        <v>161</v>
      </c>
      <c r="D26" s="68" t="s">
        <v>113</v>
      </c>
      <c r="E26" s="69"/>
      <c r="F26" s="69"/>
      <c r="G26" s="70"/>
      <c r="H26" s="1"/>
      <c r="I26" s="1"/>
    </row>
    <row r="27" spans="1:9" x14ac:dyDescent="0.25">
      <c r="A27" s="1"/>
      <c r="B27" s="1"/>
      <c r="C27" s="6" t="s">
        <v>162</v>
      </c>
      <c r="D27" s="68" t="s">
        <v>114</v>
      </c>
      <c r="E27" s="69"/>
      <c r="F27" s="69"/>
      <c r="G27" s="70"/>
      <c r="H27" s="1"/>
      <c r="I27" s="1"/>
    </row>
    <row r="28" spans="1:9" x14ac:dyDescent="0.25">
      <c r="A28" s="1"/>
      <c r="B28" s="1"/>
      <c r="C28" s="6" t="s">
        <v>16</v>
      </c>
      <c r="D28" s="68" t="s">
        <v>216</v>
      </c>
      <c r="E28" s="69"/>
      <c r="F28" s="69"/>
      <c r="G28" s="70"/>
      <c r="H28" s="1"/>
      <c r="I28" s="1"/>
    </row>
    <row r="29" spans="1:9" x14ac:dyDescent="0.25">
      <c r="A29" s="1"/>
      <c r="B29" s="1"/>
      <c r="C29" s="6" t="s">
        <v>46</v>
      </c>
      <c r="D29" s="68" t="s">
        <v>45</v>
      </c>
      <c r="E29" s="69"/>
      <c r="F29" s="69"/>
      <c r="G29" s="70"/>
      <c r="H29" s="1"/>
      <c r="I29" s="1"/>
    </row>
    <row r="30" spans="1:9" x14ac:dyDescent="0.25">
      <c r="A30" s="1"/>
      <c r="B30" s="1"/>
      <c r="C30" s="6" t="s">
        <v>47</v>
      </c>
      <c r="D30" s="76" t="s">
        <v>155</v>
      </c>
      <c r="E30" s="77"/>
      <c r="F30" s="77"/>
      <c r="G30" s="7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yz0s9cNblr2+B+ekm51NizDG3p8At8B6AzbB+cgu834ix+cjo6xdSOuJNUNTC45zvX8RqqAWvxTqGxEdXv+ZA==" saltValue="fNfYrBJstNZTz6AAOrkFB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165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0" t="s">
        <v>196</v>
      </c>
      <c r="C8" s="91"/>
      <c r="D8" s="92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5" t="s">
        <v>267</v>
      </c>
      <c r="C10" s="9">
        <v>70695</v>
      </c>
      <c r="D10" s="14" t="s">
        <v>3</v>
      </c>
      <c r="E10" s="1"/>
      <c r="F10" s="1"/>
    </row>
    <row r="11" spans="1:6" x14ac:dyDescent="0.25">
      <c r="A11" s="1"/>
      <c r="B11" s="55" t="s">
        <v>268</v>
      </c>
      <c r="C11" s="9">
        <v>23702774</v>
      </c>
      <c r="D11" s="14" t="s">
        <v>3</v>
      </c>
      <c r="E11" s="1"/>
      <c r="F11" s="1"/>
    </row>
    <row r="12" spans="1:6" x14ac:dyDescent="0.25">
      <c r="A12" s="1"/>
      <c r="B12" s="55" t="s">
        <v>269</v>
      </c>
      <c r="C12" s="9">
        <v>232269</v>
      </c>
      <c r="D12" s="14" t="s">
        <v>3</v>
      </c>
      <c r="E12" s="1"/>
      <c r="F12" s="1"/>
    </row>
    <row r="13" spans="1:6" x14ac:dyDescent="0.25">
      <c r="A13" s="1"/>
      <c r="B13" s="55" t="s">
        <v>270</v>
      </c>
      <c r="C13" s="9">
        <v>802107.01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24807845.010000002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25416848.827895291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0" t="s">
        <v>178</v>
      </c>
      <c r="C18" s="91"/>
      <c r="D18" s="92"/>
      <c r="E18" s="1"/>
      <c r="F18" s="1"/>
    </row>
    <row r="19" spans="1:6" x14ac:dyDescent="0.25">
      <c r="A19" s="1"/>
      <c r="B19" s="55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5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5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5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0"/>
      <c r="C23" s="91"/>
      <c r="D23" s="92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0" t="s">
        <v>146</v>
      </c>
      <c r="C26" s="91"/>
      <c r="D26" s="92"/>
      <c r="E26" s="1"/>
      <c r="F26" s="1"/>
    </row>
    <row r="27" spans="1:6" x14ac:dyDescent="0.25">
      <c r="A27" s="1"/>
      <c r="B27" s="55" t="s">
        <v>147</v>
      </c>
      <c r="C27" s="9">
        <v>998309</v>
      </c>
      <c r="D27" s="14" t="s">
        <v>3</v>
      </c>
      <c r="E27" s="1"/>
      <c r="F27" s="1"/>
    </row>
    <row r="28" spans="1:6" x14ac:dyDescent="0.25">
      <c r="A28" s="1"/>
      <c r="B28" s="55" t="s">
        <v>148</v>
      </c>
      <c r="C28" s="9">
        <v>998309</v>
      </c>
      <c r="D28" s="14" t="s">
        <v>3</v>
      </c>
      <c r="E28" s="1"/>
      <c r="F28" s="1"/>
    </row>
    <row r="29" spans="1:6" x14ac:dyDescent="0.25">
      <c r="A29" s="1"/>
      <c r="B29" s="55" t="s">
        <v>149</v>
      </c>
      <c r="C29" s="9">
        <v>998309</v>
      </c>
      <c r="D29" s="14" t="s">
        <v>3</v>
      </c>
      <c r="E29" s="1"/>
      <c r="F29" s="1"/>
    </row>
    <row r="30" spans="1:6" x14ac:dyDescent="0.25">
      <c r="A30" s="1"/>
      <c r="B30" s="55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0"/>
      <c r="C31" s="91"/>
      <c r="D31" s="92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C2E05A6nE5lhnde9/fbar27YoCIQJJxowzaZjpdn9R9C08qExrXpH2XhH0xXyTDJFa6qnRcdTB3Ikcw/T7sLWQ==" saltValue="GNNIwYZvABOuhi4dD4ukDg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256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ht="15" customHeight="1" x14ac:dyDescent="0.25">
      <c r="A5" s="1"/>
      <c r="B5" s="53"/>
      <c r="C5" s="53"/>
      <c r="D5" s="53"/>
      <c r="E5" s="53"/>
      <c r="F5" s="53"/>
      <c r="G5" s="1"/>
    </row>
    <row r="6" spans="1:7" ht="15" customHeight="1" x14ac:dyDescent="0.25">
      <c r="A6" s="1"/>
      <c r="B6" s="53"/>
      <c r="C6" s="53"/>
      <c r="D6" s="53"/>
      <c r="E6" s="53"/>
      <c r="F6" s="53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137</v>
      </c>
      <c r="C8" s="91"/>
      <c r="D8" s="91"/>
      <c r="E8" s="91"/>
      <c r="F8" s="92"/>
      <c r="G8" s="1"/>
    </row>
    <row r="9" spans="1:7" x14ac:dyDescent="0.25">
      <c r="A9" s="1"/>
      <c r="B9" s="96" t="s">
        <v>138</v>
      </c>
      <c r="C9" s="97"/>
      <c r="D9" s="98"/>
      <c r="E9" s="9">
        <v>101279618.08194984</v>
      </c>
      <c r="F9" s="14" t="s">
        <v>3</v>
      </c>
      <c r="G9" s="1"/>
    </row>
    <row r="10" spans="1:7" x14ac:dyDescent="0.25">
      <c r="A10" s="1"/>
      <c r="B10" s="96" t="s">
        <v>139</v>
      </c>
      <c r="C10" s="97"/>
      <c r="D10" s="98"/>
      <c r="E10" s="9">
        <v>88048740</v>
      </c>
      <c r="F10" s="14" t="s">
        <v>3</v>
      </c>
      <c r="G10" s="1"/>
    </row>
    <row r="11" spans="1:7" x14ac:dyDescent="0.25">
      <c r="A11" s="1"/>
      <c r="B11" s="96" t="s">
        <v>40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94" t="s">
        <v>140</v>
      </c>
      <c r="C12" s="95"/>
      <c r="D12" s="105"/>
      <c r="E12" s="10">
        <f>E9-(E10-E11)</f>
        <v>13230878.081949845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81" t="s">
        <v>156</v>
      </c>
      <c r="C14" s="82"/>
      <c r="D14" s="82"/>
      <c r="E14" s="82"/>
      <c r="F14" s="83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0" t="s">
        <v>52</v>
      </c>
      <c r="C16" s="91"/>
      <c r="D16" s="91"/>
      <c r="E16" s="91"/>
      <c r="F16" s="92"/>
      <c r="G16" s="1"/>
    </row>
    <row r="17" spans="1:7" x14ac:dyDescent="0.25">
      <c r="A17" s="1"/>
      <c r="B17" s="96" t="s">
        <v>53</v>
      </c>
      <c r="C17" s="97"/>
      <c r="D17" s="98"/>
      <c r="E17" s="9">
        <v>107335177.15730543</v>
      </c>
      <c r="F17" s="14" t="s">
        <v>3</v>
      </c>
      <c r="G17" s="1"/>
    </row>
    <row r="18" spans="1:7" x14ac:dyDescent="0.25">
      <c r="A18" s="1"/>
      <c r="B18" s="96" t="s">
        <v>54</v>
      </c>
      <c r="C18" s="97"/>
      <c r="D18" s="98"/>
      <c r="E18" s="9">
        <v>126604695</v>
      </c>
      <c r="F18" s="14" t="s">
        <v>3</v>
      </c>
      <c r="G18" s="1"/>
    </row>
    <row r="19" spans="1:7" x14ac:dyDescent="0.25">
      <c r="A19" s="1"/>
      <c r="B19" s="96" t="s">
        <v>40</v>
      </c>
      <c r="C19" s="97"/>
      <c r="D19" s="98"/>
      <c r="E19" s="9">
        <v>237000</v>
      </c>
      <c r="F19" s="14" t="s">
        <v>3</v>
      </c>
      <c r="G19" s="1"/>
    </row>
    <row r="20" spans="1:7" x14ac:dyDescent="0.25">
      <c r="A20" s="1"/>
      <c r="B20" s="94" t="s">
        <v>55</v>
      </c>
      <c r="C20" s="95"/>
      <c r="D20" s="105"/>
      <c r="E20" s="10">
        <f>E17-(E18-E19)</f>
        <v>-19032517.842694566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81" t="s">
        <v>218</v>
      </c>
      <c r="C22" s="82"/>
      <c r="D22" s="82"/>
      <c r="E22" s="82"/>
      <c r="F22" s="83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0" t="s">
        <v>245</v>
      </c>
      <c r="C24" s="91"/>
      <c r="D24" s="91"/>
      <c r="E24" s="91"/>
      <c r="F24" s="92"/>
      <c r="G24" s="1"/>
    </row>
    <row r="25" spans="1:7" x14ac:dyDescent="0.25">
      <c r="A25" s="1"/>
      <c r="B25" s="96" t="s">
        <v>246</v>
      </c>
      <c r="C25" s="97"/>
      <c r="D25" s="98"/>
      <c r="E25" s="9">
        <v>107185355.58273876</v>
      </c>
      <c r="F25" s="14" t="s">
        <v>3</v>
      </c>
      <c r="G25" s="1"/>
    </row>
    <row r="26" spans="1:7" x14ac:dyDescent="0.25">
      <c r="A26" s="1"/>
      <c r="B26" s="96" t="s">
        <v>247</v>
      </c>
      <c r="C26" s="97"/>
      <c r="D26" s="98"/>
      <c r="E26" s="9">
        <v>105637598.45999999</v>
      </c>
      <c r="F26" s="14" t="s">
        <v>3</v>
      </c>
      <c r="G26" s="1"/>
    </row>
    <row r="27" spans="1:7" x14ac:dyDescent="0.25">
      <c r="A27" s="1"/>
      <c r="B27" s="96" t="s">
        <v>40</v>
      </c>
      <c r="C27" s="97"/>
      <c r="D27" s="98"/>
      <c r="E27" s="9">
        <v>40000</v>
      </c>
      <c r="F27" s="14" t="s">
        <v>3</v>
      </c>
      <c r="G27" s="1"/>
    </row>
    <row r="28" spans="1:7" x14ac:dyDescent="0.25">
      <c r="A28" s="1"/>
      <c r="B28" s="94" t="s">
        <v>248</v>
      </c>
      <c r="C28" s="95"/>
      <c r="D28" s="105"/>
      <c r="E28" s="10">
        <f>E25-(E26-E27)</f>
        <v>1587757.1227387637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0" t="s">
        <v>250</v>
      </c>
      <c r="C31" s="91"/>
      <c r="D31" s="91"/>
      <c r="E31" s="91"/>
      <c r="F31" s="92"/>
      <c r="G31" s="1"/>
    </row>
    <row r="32" spans="1:7" x14ac:dyDescent="0.25">
      <c r="A32" s="1"/>
      <c r="B32" s="94" t="s">
        <v>251</v>
      </c>
      <c r="C32" s="95"/>
      <c r="D32" s="105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-1313062.7576335967</v>
      </c>
      <c r="F32" s="17" t="s">
        <v>3</v>
      </c>
      <c r="G32" s="1"/>
    </row>
    <row r="33" spans="1:7" x14ac:dyDescent="0.25">
      <c r="A33" s="1"/>
      <c r="B33" s="90"/>
      <c r="C33" s="91"/>
      <c r="D33" s="91"/>
      <c r="E33" s="91"/>
      <c r="F33" s="92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90" t="s">
        <v>249</v>
      </c>
      <c r="C35" s="91"/>
      <c r="D35" s="91"/>
      <c r="E35" s="91"/>
      <c r="F35" s="92"/>
      <c r="G35" s="1"/>
    </row>
    <row r="36" spans="1:7" x14ac:dyDescent="0.25">
      <c r="A36" s="1"/>
      <c r="B36" s="106" t="s">
        <v>284</v>
      </c>
      <c r="C36" s="107"/>
      <c r="D36" s="108"/>
      <c r="E36" s="9">
        <v>1</v>
      </c>
      <c r="F36" s="14"/>
      <c r="G36" s="1"/>
    </row>
    <row r="37" spans="1:7" x14ac:dyDescent="0.25">
      <c r="A37" s="1"/>
      <c r="B37" s="106" t="s">
        <v>285</v>
      </c>
      <c r="C37" s="107"/>
      <c r="D37" s="108"/>
      <c r="E37" s="9">
        <v>0</v>
      </c>
      <c r="F37" s="14"/>
      <c r="G37" s="1"/>
    </row>
    <row r="38" spans="1:7" x14ac:dyDescent="0.25">
      <c r="A38" s="1"/>
      <c r="B38" s="106" t="s">
        <v>252</v>
      </c>
      <c r="C38" s="107"/>
      <c r="D38" s="108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6" t="s">
        <v>152</v>
      </c>
      <c r="C39" s="107"/>
      <c r="D39" s="108"/>
      <c r="E39" s="9">
        <v>2</v>
      </c>
      <c r="F39" s="14" t="s">
        <v>21</v>
      </c>
      <c r="G39" s="1"/>
    </row>
    <row r="40" spans="1:7" x14ac:dyDescent="0.25">
      <c r="A40" s="1"/>
      <c r="B40" s="112" t="s">
        <v>253</v>
      </c>
      <c r="C40" s="112"/>
      <c r="D40" s="112"/>
      <c r="E40" s="10">
        <f>E38/E39</f>
        <v>0</v>
      </c>
      <c r="F40" s="17" t="s">
        <v>3</v>
      </c>
      <c r="G40" s="1"/>
    </row>
    <row r="41" spans="1:7" x14ac:dyDescent="0.25">
      <c r="A41" s="1"/>
      <c r="B41" s="109"/>
      <c r="C41" s="110"/>
      <c r="D41" s="110"/>
      <c r="E41" s="110"/>
      <c r="F41" s="11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47"/>
      <c r="B45" s="47"/>
      <c r="C45" s="47"/>
      <c r="D45" s="47"/>
      <c r="E45" s="47"/>
      <c r="F45" s="47"/>
      <c r="G45" s="47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roZ+Bde/PnWSyx4uDiORxkK7KNPtL7acd5COPbmgVDlRahskSDn9KSx3tZzhuMTyDSDZXSvY6EbPhildFDx2qA==" saltValue="4LrMY5YHsnTQVuBFwvFKUg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201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0" t="s">
        <v>202</v>
      </c>
      <c r="C9" s="91"/>
      <c r="D9" s="91"/>
      <c r="E9" s="91"/>
      <c r="F9" s="92"/>
      <c r="G9" s="1"/>
    </row>
    <row r="10" spans="1:7" x14ac:dyDescent="0.25">
      <c r="A10" s="1"/>
      <c r="B10" s="81" t="s">
        <v>150</v>
      </c>
      <c r="C10" s="82"/>
      <c r="D10" s="83"/>
      <c r="E10" s="7">
        <v>1581111.5419723932</v>
      </c>
      <c r="F10" s="8" t="s">
        <v>3</v>
      </c>
      <c r="G10" s="1"/>
    </row>
    <row r="11" spans="1:7" x14ac:dyDescent="0.25">
      <c r="A11" s="1"/>
      <c r="B11" s="96" t="s">
        <v>203</v>
      </c>
      <c r="C11" s="97"/>
      <c r="D11" s="98"/>
      <c r="E11" s="7">
        <v>1189590.3</v>
      </c>
      <c r="F11" s="8" t="s">
        <v>3</v>
      </c>
      <c r="G11" s="1"/>
    </row>
    <row r="12" spans="1:7" x14ac:dyDescent="0.25">
      <c r="A12" s="1"/>
      <c r="B12" s="94" t="s">
        <v>151</v>
      </c>
      <c r="C12" s="95"/>
      <c r="D12" s="105"/>
      <c r="E12" s="10">
        <f>E11-E10</f>
        <v>-391521.24197239312</v>
      </c>
      <c r="F12" s="11" t="s">
        <v>3</v>
      </c>
      <c r="G12" s="1"/>
    </row>
    <row r="13" spans="1:7" x14ac:dyDescent="0.25">
      <c r="A13" s="1"/>
      <c r="B13" s="90" t="s">
        <v>134</v>
      </c>
      <c r="C13" s="91"/>
      <c r="D13" s="91"/>
      <c r="E13" s="91"/>
      <c r="F13" s="92"/>
      <c r="G13" s="1"/>
    </row>
    <row r="14" spans="1:7" x14ac:dyDescent="0.25">
      <c r="A14" s="1"/>
      <c r="B14" s="96" t="s">
        <v>204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1" t="s">
        <v>205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94" t="s">
        <v>151</v>
      </c>
      <c r="C16" s="95"/>
      <c r="D16" s="105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-391521.24197239312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QF7jYOvDyr8GhijRLuFneYQn2CSvWRBPNnlJJO9zCUdiNT1KXpzjHsI1ukUMhOcQmJbQ7HTxg/Ht9aqn2ld3gg==" saltValue="3KatM1NGDX7LfMsoF/T2x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236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237</v>
      </c>
      <c r="C8" s="91"/>
      <c r="D8" s="91"/>
      <c r="E8" s="91"/>
      <c r="F8" s="91"/>
      <c r="G8" s="91"/>
      <c r="H8" s="92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7" t="s">
        <v>273</v>
      </c>
      <c r="C10" s="59" t="s">
        <v>274</v>
      </c>
      <c r="D10" s="9">
        <v>450000</v>
      </c>
      <c r="E10" s="9">
        <f>IFERROR(D10/C10,0)</f>
        <v>9000</v>
      </c>
      <c r="F10" s="9">
        <v>0</v>
      </c>
      <c r="G10" s="9">
        <v>11385</v>
      </c>
      <c r="H10" s="14" t="s">
        <v>3</v>
      </c>
      <c r="I10" s="1"/>
    </row>
    <row r="11" spans="1:9" x14ac:dyDescent="0.25">
      <c r="A11" s="1"/>
      <c r="B11" s="57" t="s">
        <v>275</v>
      </c>
      <c r="C11" s="59" t="s">
        <v>276</v>
      </c>
      <c r="D11" s="9">
        <v>281015.05</v>
      </c>
      <c r="E11" s="9">
        <f t="shared" ref="E11:E30" si="0">IFERROR(D11/C11,0)</f>
        <v>3746.8673333333331</v>
      </c>
      <c r="F11" s="9">
        <v>0</v>
      </c>
      <c r="G11" s="9">
        <v>7109.68</v>
      </c>
      <c r="H11" s="14" t="s">
        <v>3</v>
      </c>
      <c r="I11" s="1"/>
    </row>
    <row r="12" spans="1:9" x14ac:dyDescent="0.25">
      <c r="A12" s="1"/>
      <c r="B12" s="57" t="s">
        <v>277</v>
      </c>
      <c r="C12" s="59" t="s">
        <v>276</v>
      </c>
      <c r="D12" s="9">
        <v>10653002.42</v>
      </c>
      <c r="E12" s="9">
        <f t="shared" si="0"/>
        <v>142040.03226666668</v>
      </c>
      <c r="F12" s="9">
        <v>0</v>
      </c>
      <c r="G12" s="9">
        <v>269520.96000000002</v>
      </c>
      <c r="H12" s="14" t="s">
        <v>3</v>
      </c>
      <c r="I12" s="1"/>
    </row>
    <row r="13" spans="1:9" x14ac:dyDescent="0.25">
      <c r="A13" s="1"/>
      <c r="B13" s="57" t="s">
        <v>278</v>
      </c>
      <c r="C13" s="59" t="s">
        <v>276</v>
      </c>
      <c r="D13" s="9">
        <v>234393.85</v>
      </c>
      <c r="E13" s="9">
        <f t="shared" si="0"/>
        <v>3125.2513333333336</v>
      </c>
      <c r="F13" s="9">
        <v>0</v>
      </c>
      <c r="G13" s="9">
        <v>5930.16</v>
      </c>
      <c r="H13" s="14" t="s">
        <v>3</v>
      </c>
      <c r="I13" s="1"/>
    </row>
    <row r="14" spans="1:9" x14ac:dyDescent="0.25">
      <c r="A14" s="1"/>
      <c r="B14" s="57" t="s">
        <v>279</v>
      </c>
      <c r="C14" s="59" t="s">
        <v>276</v>
      </c>
      <c r="D14" s="9">
        <v>5147394.93</v>
      </c>
      <c r="E14" s="9">
        <f t="shared" si="0"/>
        <v>68631.932399999991</v>
      </c>
      <c r="F14" s="9">
        <v>0</v>
      </c>
      <c r="G14" s="9">
        <v>130229.09</v>
      </c>
      <c r="H14" s="14" t="s">
        <v>3</v>
      </c>
      <c r="I14" s="1"/>
    </row>
    <row r="15" spans="1:9" ht="26.25" x14ac:dyDescent="0.25">
      <c r="A15" s="1"/>
      <c r="B15" s="57" t="s">
        <v>280</v>
      </c>
      <c r="C15" s="59" t="s">
        <v>276</v>
      </c>
      <c r="D15" s="9">
        <v>4950234.38</v>
      </c>
      <c r="E15" s="9">
        <f t="shared" si="0"/>
        <v>66003.12506666666</v>
      </c>
      <c r="F15" s="9">
        <v>0</v>
      </c>
      <c r="G15" s="9">
        <v>125240.93</v>
      </c>
      <c r="H15" s="14" t="s">
        <v>3</v>
      </c>
      <c r="I15" s="1"/>
    </row>
    <row r="16" spans="1:9" ht="26.25" x14ac:dyDescent="0.25">
      <c r="A16" s="1"/>
      <c r="B16" s="57" t="s">
        <v>281</v>
      </c>
      <c r="C16" s="59" t="s">
        <v>276</v>
      </c>
      <c r="D16" s="9">
        <v>5019449.3899999997</v>
      </c>
      <c r="E16" s="9">
        <f t="shared" si="0"/>
        <v>66925.991866666664</v>
      </c>
      <c r="F16" s="9">
        <v>0</v>
      </c>
      <c r="G16" s="9">
        <v>126992.07</v>
      </c>
      <c r="H16" s="14" t="s">
        <v>3</v>
      </c>
      <c r="I16" s="1"/>
    </row>
    <row r="17" spans="1:9" x14ac:dyDescent="0.25">
      <c r="A17" s="1"/>
      <c r="B17" s="57" t="s">
        <v>273</v>
      </c>
      <c r="C17" s="59" t="s">
        <v>274</v>
      </c>
      <c r="D17" s="9">
        <v>1610000</v>
      </c>
      <c r="E17" s="9">
        <f t="shared" si="0"/>
        <v>32200</v>
      </c>
      <c r="F17" s="9">
        <v>0</v>
      </c>
      <c r="G17" s="9">
        <v>40733</v>
      </c>
      <c r="H17" s="14" t="s">
        <v>3</v>
      </c>
      <c r="I17" s="1"/>
    </row>
    <row r="18" spans="1:9" x14ac:dyDescent="0.25">
      <c r="A18" s="1"/>
      <c r="B18" s="57" t="s">
        <v>275</v>
      </c>
      <c r="C18" s="59" t="s">
        <v>276</v>
      </c>
      <c r="D18" s="9">
        <v>200673.7</v>
      </c>
      <c r="E18" s="9">
        <f t="shared" si="0"/>
        <v>2675.6493333333333</v>
      </c>
      <c r="F18" s="9">
        <v>0</v>
      </c>
      <c r="G18" s="9">
        <v>5077.04</v>
      </c>
      <c r="H18" s="14" t="s">
        <v>3</v>
      </c>
      <c r="I18" s="1"/>
    </row>
    <row r="19" spans="1:9" x14ac:dyDescent="0.25">
      <c r="A19" s="1"/>
      <c r="B19" s="57" t="s">
        <v>277</v>
      </c>
      <c r="C19" s="59" t="s">
        <v>276</v>
      </c>
      <c r="D19" s="9">
        <v>16431524.24</v>
      </c>
      <c r="E19" s="9">
        <f t="shared" si="0"/>
        <v>219086.98986666667</v>
      </c>
      <c r="F19" s="9">
        <v>0</v>
      </c>
      <c r="G19" s="9">
        <v>415717.56</v>
      </c>
      <c r="H19" s="14" t="s">
        <v>3</v>
      </c>
      <c r="I19" s="1"/>
    </row>
    <row r="20" spans="1:9" x14ac:dyDescent="0.25">
      <c r="A20" s="1"/>
      <c r="B20" s="57" t="s">
        <v>278</v>
      </c>
      <c r="C20" s="59" t="s">
        <v>276</v>
      </c>
      <c r="D20" s="9">
        <v>74644.899999999994</v>
      </c>
      <c r="E20" s="9">
        <f t="shared" si="0"/>
        <v>995.26533333333327</v>
      </c>
      <c r="F20" s="9">
        <v>0</v>
      </c>
      <c r="G20" s="9">
        <v>1888.52</v>
      </c>
      <c r="H20" s="14" t="s">
        <v>3</v>
      </c>
      <c r="I20" s="1"/>
    </row>
    <row r="21" spans="1:9" x14ac:dyDescent="0.25">
      <c r="A21" s="1"/>
      <c r="B21" s="57" t="s">
        <v>279</v>
      </c>
      <c r="C21" s="59" t="s">
        <v>276</v>
      </c>
      <c r="D21" s="9">
        <v>8694558.1500000004</v>
      </c>
      <c r="E21" s="9">
        <f t="shared" si="0"/>
        <v>115927.44200000001</v>
      </c>
      <c r="F21" s="9">
        <v>0</v>
      </c>
      <c r="G21" s="9">
        <v>219972.32</v>
      </c>
      <c r="H21" s="14" t="s">
        <v>3</v>
      </c>
      <c r="I21" s="1"/>
    </row>
    <row r="22" spans="1:9" ht="26.25" x14ac:dyDescent="0.25">
      <c r="A22" s="1"/>
      <c r="B22" s="57" t="s">
        <v>280</v>
      </c>
      <c r="C22" s="59" t="s">
        <v>276</v>
      </c>
      <c r="D22" s="9">
        <v>3985570.51</v>
      </c>
      <c r="E22" s="9">
        <f t="shared" si="0"/>
        <v>53140.94013333333</v>
      </c>
      <c r="F22" s="9">
        <v>0</v>
      </c>
      <c r="G22" s="9">
        <v>100834.93</v>
      </c>
      <c r="H22" s="14" t="s">
        <v>3</v>
      </c>
      <c r="I22" s="1"/>
    </row>
    <row r="23" spans="1:9" ht="26.25" x14ac:dyDescent="0.25">
      <c r="A23" s="1"/>
      <c r="B23" s="57" t="s">
        <v>281</v>
      </c>
      <c r="C23" s="59" t="s">
        <v>276</v>
      </c>
      <c r="D23" s="9">
        <v>2709325.19</v>
      </c>
      <c r="E23" s="9">
        <f t="shared" si="0"/>
        <v>36124.335866666668</v>
      </c>
      <c r="F23" s="9">
        <v>0</v>
      </c>
      <c r="G23" s="9">
        <v>68545.929999999993</v>
      </c>
      <c r="H23" s="14" t="s">
        <v>3</v>
      </c>
      <c r="I23" s="1"/>
    </row>
    <row r="24" spans="1:9" ht="26.25" x14ac:dyDescent="0.25">
      <c r="A24" s="1"/>
      <c r="B24" s="57" t="s">
        <v>282</v>
      </c>
      <c r="C24" s="59" t="s">
        <v>276</v>
      </c>
      <c r="D24" s="9">
        <v>1279691.8400000001</v>
      </c>
      <c r="E24" s="9">
        <f t="shared" si="0"/>
        <v>17062.557866666666</v>
      </c>
      <c r="F24" s="9">
        <v>0</v>
      </c>
      <c r="G24" s="9">
        <v>32376.2</v>
      </c>
      <c r="H24" s="14" t="s">
        <v>3</v>
      </c>
      <c r="I24" s="1"/>
    </row>
    <row r="25" spans="1:9" ht="26.25" x14ac:dyDescent="0.25">
      <c r="A25" s="1"/>
      <c r="B25" s="57" t="s">
        <v>283</v>
      </c>
      <c r="C25" s="59" t="s">
        <v>276</v>
      </c>
      <c r="D25" s="9">
        <v>1551883.24</v>
      </c>
      <c r="E25" s="9">
        <f t="shared" si="0"/>
        <v>20691.776533333334</v>
      </c>
      <c r="F25" s="9">
        <v>0</v>
      </c>
      <c r="G25" s="9">
        <v>39262.65</v>
      </c>
      <c r="H25" s="14" t="s">
        <v>3</v>
      </c>
      <c r="I25" s="1"/>
    </row>
    <row r="26" spans="1:9" x14ac:dyDescent="0.25">
      <c r="A26" s="1"/>
      <c r="B26" s="57" t="s">
        <v>273</v>
      </c>
      <c r="C26" s="59" t="s">
        <v>274</v>
      </c>
      <c r="D26" s="9">
        <v>9586750</v>
      </c>
      <c r="E26" s="9">
        <f t="shared" si="0"/>
        <v>191735</v>
      </c>
      <c r="F26" s="9">
        <v>0</v>
      </c>
      <c r="G26" s="9">
        <v>242544.78</v>
      </c>
      <c r="H26" s="14" t="s">
        <v>3</v>
      </c>
      <c r="I26" s="1"/>
    </row>
    <row r="27" spans="1:9" x14ac:dyDescent="0.25">
      <c r="A27" s="1"/>
      <c r="B27" s="57" t="s">
        <v>275</v>
      </c>
      <c r="C27" s="59" t="s">
        <v>276</v>
      </c>
      <c r="D27" s="9">
        <v>195819.39</v>
      </c>
      <c r="E27" s="9">
        <f t="shared" si="0"/>
        <v>2610.9252000000001</v>
      </c>
      <c r="F27" s="9">
        <v>0</v>
      </c>
      <c r="G27" s="9">
        <v>4954.2299999999996</v>
      </c>
      <c r="H27" s="14" t="s">
        <v>3</v>
      </c>
      <c r="I27" s="1"/>
    </row>
    <row r="28" spans="1:9" x14ac:dyDescent="0.25">
      <c r="A28" s="1"/>
      <c r="B28" s="57" t="s">
        <v>277</v>
      </c>
      <c r="C28" s="59" t="s">
        <v>276</v>
      </c>
      <c r="D28" s="9">
        <v>6475420.6699999999</v>
      </c>
      <c r="E28" s="9">
        <f t="shared" si="0"/>
        <v>86338.942266666665</v>
      </c>
      <c r="F28" s="9">
        <v>0</v>
      </c>
      <c r="G28" s="9">
        <v>163828.14000000001</v>
      </c>
      <c r="H28" s="14" t="s">
        <v>3</v>
      </c>
      <c r="I28" s="1"/>
    </row>
    <row r="29" spans="1:9" x14ac:dyDescent="0.25">
      <c r="A29" s="1"/>
      <c r="B29" s="57" t="s">
        <v>278</v>
      </c>
      <c r="C29" s="59" t="s">
        <v>276</v>
      </c>
      <c r="D29" s="9">
        <v>302226.99</v>
      </c>
      <c r="E29" s="9">
        <f t="shared" si="0"/>
        <v>4029.6931999999997</v>
      </c>
      <c r="F29" s="9">
        <v>0</v>
      </c>
      <c r="G29" s="9">
        <v>7646.34</v>
      </c>
      <c r="H29" s="14" t="s">
        <v>3</v>
      </c>
      <c r="I29" s="1"/>
    </row>
    <row r="30" spans="1:9" x14ac:dyDescent="0.25">
      <c r="A30" s="1"/>
      <c r="B30" s="57" t="s">
        <v>279</v>
      </c>
      <c r="C30" s="59" t="s">
        <v>276</v>
      </c>
      <c r="D30" s="9">
        <v>3467922.97</v>
      </c>
      <c r="E30" s="9">
        <f t="shared" si="0"/>
        <v>46238.972933333338</v>
      </c>
      <c r="F30" s="9">
        <v>0</v>
      </c>
      <c r="G30" s="9">
        <v>87738.45</v>
      </c>
      <c r="H30" s="14" t="s">
        <v>3</v>
      </c>
      <c r="I30" s="1"/>
    </row>
    <row r="31" spans="1:9" ht="26.25" x14ac:dyDescent="0.25">
      <c r="A31" s="1"/>
      <c r="B31" s="57" t="s">
        <v>280</v>
      </c>
      <c r="C31" s="59" t="s">
        <v>276</v>
      </c>
      <c r="D31" s="9">
        <v>4636991.87</v>
      </c>
      <c r="E31" s="9">
        <f t="shared" ref="E31:E32" si="1">IFERROR(D31/C31,0)</f>
        <v>61826.558266666667</v>
      </c>
      <c r="F31" s="9">
        <v>0</v>
      </c>
      <c r="G31" s="9">
        <v>117315.89</v>
      </c>
      <c r="H31" s="14" t="s">
        <v>3</v>
      </c>
      <c r="I31" s="1"/>
    </row>
    <row r="32" spans="1:9" ht="26.25" x14ac:dyDescent="0.25">
      <c r="A32" s="1"/>
      <c r="B32" s="57" t="s">
        <v>281</v>
      </c>
      <c r="C32" s="59" t="s">
        <v>276</v>
      </c>
      <c r="D32" s="9">
        <v>1542709.2</v>
      </c>
      <c r="E32" s="9">
        <f t="shared" si="1"/>
        <v>20569.455999999998</v>
      </c>
      <c r="F32" s="9">
        <v>0</v>
      </c>
      <c r="G32" s="9">
        <v>39030.54</v>
      </c>
      <c r="H32" s="14" t="s">
        <v>3</v>
      </c>
      <c r="I32" s="1"/>
    </row>
    <row r="33" spans="1:9" x14ac:dyDescent="0.25">
      <c r="A33" s="1"/>
      <c r="B33" s="90" t="s">
        <v>238</v>
      </c>
      <c r="C33" s="91"/>
      <c r="D33" s="92"/>
      <c r="E33" s="12">
        <f>SUM(E10:E32)</f>
        <v>1270727.7050666665</v>
      </c>
      <c r="F33" s="12">
        <f t="shared" ref="F33" si="2">SUM(F10:F32)</f>
        <v>0</v>
      </c>
      <c r="G33" s="12">
        <f>SUM(G10:G32)</f>
        <v>2263874.41</v>
      </c>
      <c r="H33" s="13" t="s">
        <v>3</v>
      </c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</sheetData>
  <sheetProtection algorithmName="SHA-512" hashValue="oynZ3T9KKcDm1z1XI0pJZBQvtUpyieOsD8/1R+KcaBtsohIDrR00hD+sYS4fPIVNnmeB7tTTjUhaeYggHXZspg==" saltValue="Jo07F3EVOMJpLeiAwqBIpA==" spinCount="100000" sheet="1" objects="1" scenarios="1"/>
  <mergeCells count="3">
    <mergeCell ref="B3:H4"/>
    <mergeCell ref="B33:D3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168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2" t="s">
        <v>18</v>
      </c>
      <c r="C9" s="52" t="s">
        <v>12</v>
      </c>
      <c r="D9" s="54"/>
      <c r="E9" s="52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Anlægsprojekter'!F33</f>
        <v>0</v>
      </c>
      <c r="D10" s="14" t="s">
        <v>3</v>
      </c>
      <c r="E10" s="9">
        <f>SUM('Fane 9. Anlægsprojekter'!E33,'Fane 9. Anlægsprojekter'!G33)</f>
        <v>3534602.1150666666</v>
      </c>
      <c r="F10" s="14" t="s">
        <v>3</v>
      </c>
      <c r="G10" s="1"/>
    </row>
    <row r="11" spans="1:7" x14ac:dyDescent="0.25">
      <c r="A11" s="1"/>
      <c r="B11" s="60" t="s">
        <v>271</v>
      </c>
      <c r="C11" s="22">
        <v>0</v>
      </c>
      <c r="D11" s="14" t="s">
        <v>3</v>
      </c>
      <c r="E11" s="9">
        <v>29502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0</v>
      </c>
      <c r="D12" s="13" t="s">
        <v>3</v>
      </c>
      <c r="E12" s="12">
        <f>SUM(E10:E11)</f>
        <v>3564104.1150666666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0</v>
      </c>
      <c r="D13" s="13" t="s">
        <v>3</v>
      </c>
      <c r="E13" s="12">
        <f>E12*(1+'Fane 14. Nøgletal'!C13)</f>
        <v>3607586.1852704799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QWyTo/hXlC7B7n4yd7fiqPdurzHU20Chiz0CP0do3rK+kzutZ+RD65ggo09ApOCyqgkltAnLSN9+j5dooodkyQ==" saltValue="4oIVlrGqp2Uw3YIBZmKUr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167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141</v>
      </c>
      <c r="C8" s="91"/>
      <c r="D8" s="91"/>
      <c r="E8" s="91"/>
      <c r="F8" s="92"/>
      <c r="G8" s="1"/>
    </row>
    <row r="9" spans="1:7" x14ac:dyDescent="0.25">
      <c r="A9" s="1"/>
      <c r="B9" s="52" t="s">
        <v>18</v>
      </c>
      <c r="C9" s="52" t="s">
        <v>12</v>
      </c>
      <c r="D9" s="54"/>
      <c r="E9" s="52" t="s">
        <v>38</v>
      </c>
      <c r="F9" s="37"/>
      <c r="G9" s="1"/>
    </row>
    <row r="10" spans="1:7" x14ac:dyDescent="0.25">
      <c r="A10" s="1"/>
      <c r="B10" s="25" t="s">
        <v>272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0" t="s">
        <v>142</v>
      </c>
      <c r="C16" s="91"/>
      <c r="D16" s="91"/>
      <c r="E16" s="91"/>
      <c r="F16" s="92"/>
      <c r="G16" s="1"/>
    </row>
    <row r="17" spans="1:7" x14ac:dyDescent="0.25">
      <c r="A17" s="1"/>
      <c r="B17" s="52" t="s">
        <v>18</v>
      </c>
      <c r="C17" s="52" t="s">
        <v>12</v>
      </c>
      <c r="D17" s="54"/>
      <c r="E17" s="52" t="s">
        <v>38</v>
      </c>
      <c r="F17" s="37"/>
      <c r="G17" s="1"/>
    </row>
    <row r="18" spans="1:7" x14ac:dyDescent="0.25">
      <c r="A18" s="1"/>
      <c r="B18" s="25" t="s">
        <v>272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0" t="s">
        <v>143</v>
      </c>
      <c r="C24" s="91"/>
      <c r="D24" s="91"/>
      <c r="E24" s="91"/>
      <c r="F24" s="92"/>
      <c r="G24" s="1"/>
    </row>
    <row r="25" spans="1:7" x14ac:dyDescent="0.25">
      <c r="A25" s="1"/>
      <c r="B25" s="52" t="s">
        <v>18</v>
      </c>
      <c r="C25" s="52" t="s">
        <v>12</v>
      </c>
      <c r="D25" s="54"/>
      <c r="E25" s="52" t="s">
        <v>38</v>
      </c>
      <c r="F25" s="37"/>
      <c r="G25" s="1"/>
    </row>
    <row r="26" spans="1:7" x14ac:dyDescent="0.25">
      <c r="A26" s="1"/>
      <c r="B26" s="25" t="s">
        <v>272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0" t="s">
        <v>223</v>
      </c>
      <c r="C32" s="91"/>
      <c r="D32" s="91"/>
      <c r="E32" s="91"/>
      <c r="F32" s="92"/>
      <c r="G32" s="1"/>
    </row>
    <row r="33" spans="1:7" x14ac:dyDescent="0.25">
      <c r="A33" s="1"/>
      <c r="B33" s="52" t="s">
        <v>18</v>
      </c>
      <c r="C33" s="52" t="s">
        <v>12</v>
      </c>
      <c r="D33" s="54"/>
      <c r="E33" s="52" t="s">
        <v>38</v>
      </c>
      <c r="F33" s="37"/>
      <c r="G33" s="1"/>
    </row>
    <row r="34" spans="1:7" x14ac:dyDescent="0.25">
      <c r="A34" s="1"/>
      <c r="B34" s="25" t="s">
        <v>272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iRlUFkyV19fK3oJLhRdfiB6LwZaM12oQagfzWwVki+k/ulO8HHV2betJOUPNsXNG7aJt3ykZmiVnWG5I+k56cg==" saltValue="/wOdQxjFu+YoJcisqnbrN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169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125</v>
      </c>
      <c r="C8" s="91"/>
      <c r="D8" s="91"/>
      <c r="E8" s="91"/>
      <c r="F8" s="92"/>
      <c r="G8" s="1"/>
    </row>
    <row r="9" spans="1:7" x14ac:dyDescent="0.25">
      <c r="A9" s="1"/>
      <c r="B9" s="113" t="s">
        <v>286</v>
      </c>
      <c r="C9" s="114"/>
      <c r="D9" s="115"/>
      <c r="E9" s="9">
        <v>2535375</v>
      </c>
      <c r="F9" s="14" t="s">
        <v>3</v>
      </c>
      <c r="G9" s="1"/>
    </row>
    <row r="10" spans="1:7" x14ac:dyDescent="0.25">
      <c r="A10" s="1"/>
      <c r="B10" s="84" t="s">
        <v>10</v>
      </c>
      <c r="C10" s="85"/>
      <c r="D10" s="86"/>
      <c r="E10" s="9">
        <f>-E9*'Fane 5. Individuelt eff. krav'!G11</f>
        <v>-20719.387337752385</v>
      </c>
      <c r="F10" s="14" t="s">
        <v>3</v>
      </c>
      <c r="G10" s="1"/>
    </row>
    <row r="11" spans="1:7" x14ac:dyDescent="0.25">
      <c r="A11" s="1"/>
      <c r="B11" s="84" t="s">
        <v>29</v>
      </c>
      <c r="C11" s="85"/>
      <c r="D11" s="86"/>
      <c r="E11" s="9">
        <f>-E9*'Fane 14. Nøgletal'!C27</f>
        <v>-50707.5</v>
      </c>
      <c r="F11" s="14" t="s">
        <v>3</v>
      </c>
      <c r="G11" s="1"/>
    </row>
    <row r="12" spans="1:7" x14ac:dyDescent="0.25">
      <c r="A12" s="1"/>
      <c r="B12" s="90" t="s">
        <v>128</v>
      </c>
      <c r="C12" s="91"/>
      <c r="D12" s="92"/>
      <c r="E12" s="12">
        <f>SUM(E9:E11)*(1+'Fane 14. Nøgletal'!C12)^3</f>
        <v>2612454.9847920896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0" t="s">
        <v>126</v>
      </c>
      <c r="C14" s="91"/>
      <c r="D14" s="91"/>
      <c r="E14" s="91"/>
      <c r="F14" s="92"/>
      <c r="G14" s="1"/>
    </row>
    <row r="15" spans="1:7" x14ac:dyDescent="0.25">
      <c r="A15" s="1"/>
      <c r="B15" s="113" t="s">
        <v>207</v>
      </c>
      <c r="C15" s="114"/>
      <c r="D15" s="115"/>
      <c r="E15" s="9">
        <v>2317409.624188263</v>
      </c>
      <c r="F15" s="14" t="s">
        <v>3</v>
      </c>
      <c r="G15" s="1"/>
    </row>
    <row r="16" spans="1:7" x14ac:dyDescent="0.25">
      <c r="A16" s="1"/>
      <c r="B16" s="84" t="s">
        <v>10</v>
      </c>
      <c r="C16" s="85"/>
      <c r="D16" s="86"/>
      <c r="E16" s="9">
        <f>-E15*'Fane 5. Individuelt eff. krav'!G11</f>
        <v>-18938.148251754399</v>
      </c>
      <c r="F16" s="14" t="s">
        <v>3</v>
      </c>
      <c r="G16" s="1"/>
    </row>
    <row r="17" spans="1:7" x14ac:dyDescent="0.25">
      <c r="A17" s="1"/>
      <c r="B17" s="84" t="s">
        <v>29</v>
      </c>
      <c r="C17" s="85"/>
      <c r="D17" s="86"/>
      <c r="E17" s="9">
        <f>-E15*'Fane 14. Nøgletal'!C27</f>
        <v>-46348.192483765262</v>
      </c>
      <c r="F17" s="14" t="s">
        <v>3</v>
      </c>
      <c r="G17" s="1"/>
    </row>
    <row r="18" spans="1:7" x14ac:dyDescent="0.25">
      <c r="A18" s="1"/>
      <c r="B18" s="90" t="s">
        <v>129</v>
      </c>
      <c r="C18" s="91"/>
      <c r="D18" s="92"/>
      <c r="E18" s="12">
        <f>SUM(E15:E17)*(1+'Fane 14. Nøgletal'!C13)^3</f>
        <v>2335560.7032292015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0" t="s">
        <v>127</v>
      </c>
      <c r="C20" s="91"/>
      <c r="D20" s="91"/>
      <c r="E20" s="91"/>
      <c r="F20" s="92"/>
      <c r="G20" s="1"/>
    </row>
    <row r="21" spans="1:7" x14ac:dyDescent="0.25">
      <c r="A21" s="1"/>
      <c r="B21" s="113" t="s">
        <v>207</v>
      </c>
      <c r="C21" s="114"/>
      <c r="D21" s="115"/>
      <c r="E21" s="9">
        <v>2244660.1775439382</v>
      </c>
      <c r="F21" s="14" t="s">
        <v>3</v>
      </c>
      <c r="G21" s="1"/>
    </row>
    <row r="22" spans="1:7" x14ac:dyDescent="0.25">
      <c r="A22" s="1"/>
      <c r="B22" s="84" t="s">
        <v>10</v>
      </c>
      <c r="C22" s="85"/>
      <c r="D22" s="86"/>
      <c r="E22" s="9">
        <f>-E21*'Fane 5. Individuelt eff. krav'!G11</f>
        <v>-18343.631084222605</v>
      </c>
      <c r="F22" s="14" t="s">
        <v>3</v>
      </c>
      <c r="G22" s="1"/>
    </row>
    <row r="23" spans="1:7" x14ac:dyDescent="0.25">
      <c r="A23" s="1"/>
      <c r="B23" s="84" t="s">
        <v>29</v>
      </c>
      <c r="C23" s="85"/>
      <c r="D23" s="86"/>
      <c r="E23" s="9">
        <f>-E21*'Fane 14. Nøgletal'!C27</f>
        <v>-44893.203550878767</v>
      </c>
      <c r="F23" s="14" t="s">
        <v>3</v>
      </c>
      <c r="G23" s="1"/>
    </row>
    <row r="24" spans="1:7" x14ac:dyDescent="0.25">
      <c r="A24" s="1"/>
      <c r="B24" s="90" t="s">
        <v>130</v>
      </c>
      <c r="C24" s="91"/>
      <c r="D24" s="92"/>
      <c r="E24" s="12">
        <f>SUM(E21:E23)*(1+'Fane 14. Nøgletal'!C13)^4</f>
        <v>2289840.7932036216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0" t="s">
        <v>208</v>
      </c>
      <c r="C26" s="91"/>
      <c r="D26" s="91"/>
      <c r="E26" s="91"/>
      <c r="F26" s="92"/>
      <c r="G26" s="1"/>
    </row>
    <row r="27" spans="1:7" x14ac:dyDescent="0.25">
      <c r="A27" s="1"/>
      <c r="B27" s="113" t="s">
        <v>207</v>
      </c>
      <c r="C27" s="114"/>
      <c r="D27" s="115"/>
      <c r="E27" s="9">
        <v>2173100.1997002326</v>
      </c>
      <c r="F27" s="14" t="s">
        <v>3</v>
      </c>
      <c r="G27" s="1"/>
    </row>
    <row r="28" spans="1:7" x14ac:dyDescent="0.25">
      <c r="A28" s="1"/>
      <c r="B28" s="84" t="s">
        <v>10</v>
      </c>
      <c r="C28" s="85"/>
      <c r="D28" s="86"/>
      <c r="E28" s="9">
        <f>-E27*'Fane 5. Individuelt eff. krav'!G11</f>
        <v>-17758.834397805524</v>
      </c>
      <c r="F28" s="14" t="s">
        <v>3</v>
      </c>
      <c r="G28" s="1"/>
    </row>
    <row r="29" spans="1:7" x14ac:dyDescent="0.25">
      <c r="A29" s="1"/>
      <c r="B29" s="84" t="s">
        <v>29</v>
      </c>
      <c r="C29" s="85"/>
      <c r="D29" s="86"/>
      <c r="E29" s="9">
        <f>-E27*'Fane 14. Nøgletal'!C27</f>
        <v>-43462.003994004655</v>
      </c>
      <c r="F29" s="14" t="s">
        <v>3</v>
      </c>
      <c r="G29" s="1"/>
    </row>
    <row r="30" spans="1:7" x14ac:dyDescent="0.25">
      <c r="A30" s="1"/>
      <c r="B30" s="90" t="s">
        <v>209</v>
      </c>
      <c r="C30" s="91"/>
      <c r="D30" s="92"/>
      <c r="E30" s="12">
        <f>SUM(E27:E29)*(1+'Fane 14. Nøgletal'!C13)^5</f>
        <v>2243885.9066054989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ib8jsUvVd95czDsnrEpn6D6VaT3Y0mEnb18Tybn2o4yETZ/m8P/unDmeI0LVQz7TPsANooZ0+Me6IAYA4sLvjg==" saltValue="btTelzHV3SrKrXHli/J0v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210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211</v>
      </c>
      <c r="C8" s="91"/>
      <c r="D8" s="91"/>
      <c r="E8" s="91"/>
      <c r="F8" s="92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yIow5iX4FLZ8RiKgkIGTTObyQ5x9ViZUwydTSkEdrN0VA6Yx3nPKqvnHSLGM2XR8+lkzuGaRtm+gmSHE2u8Tow==" saltValue="WB7EZFxx9VGc6VoYygZu8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166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0" t="s">
        <v>132</v>
      </c>
      <c r="C8" s="91"/>
      <c r="D8" s="91"/>
      <c r="E8" s="91"/>
      <c r="F8" s="92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0" t="s">
        <v>131</v>
      </c>
      <c r="C14" s="91"/>
      <c r="D14" s="91"/>
      <c r="E14" s="91"/>
      <c r="F14" s="92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0" t="s">
        <v>133</v>
      </c>
      <c r="C20" s="91"/>
      <c r="D20" s="91"/>
      <c r="E20" s="91"/>
      <c r="F20" s="92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0" t="s">
        <v>227</v>
      </c>
      <c r="C26" s="91"/>
      <c r="D26" s="91"/>
      <c r="E26" s="91"/>
      <c r="F26" s="92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KaVRVvxBD0v3sB9IznL1YdRHXl4VGyl0M6hN1HB2wxNFC3vRFNz8Gnjy7hvCPAKdo4Q5m4frEXTPzxrZy4V+vQ==" saltValue="R0OfH1jYDReBwJgSZ/3e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257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5" t="s">
        <v>170</v>
      </c>
      <c r="C9" s="26">
        <v>1.2699999999999999E-2</v>
      </c>
      <c r="D9" s="1"/>
    </row>
    <row r="10" spans="1:4" x14ac:dyDescent="0.25">
      <c r="A10" s="1"/>
      <c r="B10" s="55" t="s">
        <v>171</v>
      </c>
      <c r="C10" s="26">
        <v>1.7500000000000002E-2</v>
      </c>
      <c r="D10" s="1"/>
    </row>
    <row r="11" spans="1:4" x14ac:dyDescent="0.25">
      <c r="A11" s="1"/>
      <c r="B11" s="55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5" t="s">
        <v>173</v>
      </c>
      <c r="C18" s="23">
        <v>9.1000000000000004E-3</v>
      </c>
      <c r="D18" s="1"/>
    </row>
    <row r="19" spans="1:4" x14ac:dyDescent="0.25">
      <c r="A19" s="1"/>
      <c r="B19" s="55" t="s">
        <v>174</v>
      </c>
      <c r="C19" s="23">
        <v>1.77E-2</v>
      </c>
      <c r="D19" s="1"/>
    </row>
    <row r="20" spans="1:4" x14ac:dyDescent="0.25">
      <c r="A20" s="1"/>
      <c r="B20" s="55" t="s">
        <v>175</v>
      </c>
      <c r="C20" s="23">
        <v>8.6999999999999994E-3</v>
      </c>
      <c r="D20" s="1"/>
    </row>
    <row r="21" spans="1:4" x14ac:dyDescent="0.25">
      <c r="A21" s="1"/>
      <c r="B21" s="55" t="s">
        <v>176</v>
      </c>
      <c r="C21" s="41">
        <v>2.8400000000000002E-2</v>
      </c>
      <c r="D21" s="1"/>
    </row>
    <row r="22" spans="1:4" x14ac:dyDescent="0.25">
      <c r="A22" s="1"/>
      <c r="B22" s="55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5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jyakhpWBGL7XSviNXApobYPVOdO3wUDDnS+spVtXNXcUHuVMa9J58lxk2WXMG4ebehdNtYIUmCd7FSlVurG/qA==" saltValue="r/l0x44FWddy8V0bK93NF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185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74318594.983906582</v>
      </c>
      <c r="D9" s="8" t="s">
        <v>3</v>
      </c>
      <c r="E9" s="1"/>
    </row>
    <row r="10" spans="1:5" ht="17.100000000000001" customHeight="1" x14ac:dyDescent="0.25">
      <c r="A10" s="1"/>
      <c r="B10" s="49" t="s">
        <v>48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49" t="s">
        <v>49</v>
      </c>
      <c r="C11" s="9">
        <f>'Fane 10.1. Varige tillæg'!E13</f>
        <v>3607586.1852704799</v>
      </c>
      <c r="D11" s="8" t="s">
        <v>3</v>
      </c>
      <c r="E11" s="1"/>
    </row>
    <row r="12" spans="1:5" ht="17.100000000000001" customHeight="1" x14ac:dyDescent="0.25">
      <c r="A12" s="1"/>
      <c r="B12" s="49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9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9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9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9" t="s">
        <v>20</v>
      </c>
      <c r="C16" s="9">
        <f>C9*'Fane 14. Nøgletal'!C12+SUM(C10:C15)*'Fane 14. Nøgletal'!C13</f>
        <v>1508088.8726432594</v>
      </c>
      <c r="D16" s="8" t="s">
        <v>3</v>
      </c>
      <c r="E16" s="1"/>
    </row>
    <row r="17" spans="1:5" ht="17.100000000000001" customHeight="1" x14ac:dyDescent="0.25">
      <c r="A17" s="1"/>
      <c r="B17" s="49" t="s">
        <v>10</v>
      </c>
      <c r="C17" s="9">
        <f>-SUM(C9:C16)*'Fane 5. Individuelt eff. krav'!G11</f>
        <v>-649146.34280455369</v>
      </c>
      <c r="D17" s="8" t="s">
        <v>3</v>
      </c>
      <c r="E17" s="1"/>
    </row>
    <row r="18" spans="1:5" ht="17.100000000000001" customHeight="1" x14ac:dyDescent="0.25">
      <c r="A18" s="1"/>
      <c r="B18" s="49" t="s">
        <v>29</v>
      </c>
      <c r="C18" s="9">
        <f>-'Fane 4.1. Gen. krav - drift'!G34</f>
        <v>-340613.41001839505</v>
      </c>
      <c r="D18" s="8" t="s">
        <v>3</v>
      </c>
      <c r="E18" s="1"/>
    </row>
    <row r="19" spans="1:5" ht="17.100000000000001" customHeight="1" x14ac:dyDescent="0.25">
      <c r="A19" s="1"/>
      <c r="B19" s="49" t="s">
        <v>30</v>
      </c>
      <c r="C19" s="9">
        <f>-'Fane 4.2. Gen. krav - anlæg'!G31</f>
        <v>-1806653.8348547958</v>
      </c>
      <c r="D19" s="8" t="s">
        <v>3</v>
      </c>
      <c r="E19" s="1"/>
    </row>
    <row r="20" spans="1:5" ht="17.100000000000001" customHeight="1" x14ac:dyDescent="0.25">
      <c r="A20" s="1"/>
      <c r="B20" s="50" t="s">
        <v>22</v>
      </c>
      <c r="C20" s="10">
        <f>SUM(C9:C19)</f>
        <v>76637856.45414257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26415157.827895291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0" t="s">
        <v>114</v>
      </c>
      <c r="C24" s="10">
        <f>'Fane 11. Periodevise driftsomk.'!E12</f>
        <v>2612454.9847920896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9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9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0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-1313062.7576335967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-391521.24197239312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103960885.26722395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GLETeAFqZUITJcN54Zbw1z4I0bpPxF0/isChobRpAYQxW15s8ia/7cEZpZJRiYryiFpgGnv6D2OC0JPosZh8uA==" saltValue="T6j3rflDn7P3H+Qr+lZIj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188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23</v>
      </c>
      <c r="C5" s="80"/>
      <c r="D5" s="8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76637856.45414257</v>
      </c>
      <c r="D9" s="8" t="s">
        <v>3</v>
      </c>
      <c r="E9" s="1"/>
    </row>
    <row r="10" spans="1:5" ht="15" customHeight="1" x14ac:dyDescent="0.25">
      <c r="A10" s="1"/>
      <c r="B10" s="49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9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934981.8487405394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-633934.50029532879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-337873.51574820705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-1723675.411443044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74877354.875396535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26725243.383595612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0" t="s">
        <v>114</v>
      </c>
      <c r="C20" s="10">
        <f>'Fane 11. Periodevise driftsomk.'!E18</f>
        <v>2335560.7032292015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9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9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0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103938158.96222135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dDkGuFcKTSGqAWK0l2YaNbMfBIOFXfdYz5Q9Fp5J5JaNkgSr6p216ret0wE3Gka4vr7kbIix/hTifUNqKdmceQ==" saltValue="AIBTKkW2HqAPiIfj39oO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189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23</v>
      </c>
      <c r="C5" s="80"/>
      <c r="D5" s="80"/>
      <c r="E5" s="1"/>
    </row>
    <row r="6" spans="1:5" x14ac:dyDescent="0.25">
      <c r="A6" s="1"/>
      <c r="B6" s="48"/>
      <c r="C6" s="48"/>
      <c r="D6" s="48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74877354.875396535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913503.72947983781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-619371.94935473322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-335155.66118752852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-1696724.8845474261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73139606.109786674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27039111.983075481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0" t="s">
        <v>114</v>
      </c>
      <c r="C20" s="10">
        <f>'Fane 11. Periodevise driftsomk.'!E24</f>
        <v>2289840.7932036216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9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9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0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102468558.88606578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LM9lOB8uCJuyGZT40vc+k2+aqqx4hohrdGtcTK9eJm76Ay21QaDVtAQl2VgbbtKh9myb+CTPdKW/54pwzmRL1g==" saltValue="2aVi2tmeeGDIUOVS9zuXz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191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23</v>
      </c>
      <c r="C5" s="80"/>
      <c r="D5" s="80"/>
      <c r="E5" s="1"/>
    </row>
    <row r="6" spans="1:5" x14ac:dyDescent="0.25">
      <c r="A6" s="1"/>
      <c r="B6" s="48"/>
      <c r="C6" s="48"/>
      <c r="D6" s="48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73139606.109786674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892303.19453939749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-604997.60557301645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-332459.66904893605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-1670195.7426150849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71424256.287089035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26358500.779469002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0" t="s">
        <v>114</v>
      </c>
      <c r="C20" s="10">
        <f>'Fane 11. Periodevise driftsomk.'!E30</f>
        <v>2243885.9066054989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9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9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0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100026642.97316353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Go+yY2PXa/Z//pcwP+7E3nr5qo2MkVagt4LXF83ZUHIGsfl3IUGNIaHxriYfuLEn945UOdIHd66ZghEuWntSA==" saltValue="pf5c7ZupxsmDffQ3HzpaW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194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81" t="s">
        <v>25</v>
      </c>
      <c r="C9" s="82"/>
      <c r="D9" s="83"/>
      <c r="E9" s="7">
        <v>73756935.950321108</v>
      </c>
      <c r="F9" s="8" t="s">
        <v>3</v>
      </c>
      <c r="G9" s="1"/>
    </row>
    <row r="10" spans="1:7" ht="15" customHeight="1" x14ac:dyDescent="0.25">
      <c r="A10" s="1"/>
      <c r="B10" s="84" t="s">
        <v>48</v>
      </c>
      <c r="C10" s="85"/>
      <c r="D10" s="86"/>
      <c r="E10" s="7">
        <v>0</v>
      </c>
      <c r="F10" s="8" t="s">
        <v>3</v>
      </c>
      <c r="G10" s="1"/>
    </row>
    <row r="11" spans="1:7" ht="15" customHeight="1" x14ac:dyDescent="0.25">
      <c r="A11" s="1"/>
      <c r="B11" s="84" t="s">
        <v>49</v>
      </c>
      <c r="C11" s="85"/>
      <c r="D11" s="86"/>
      <c r="E11" s="9">
        <v>1766226.897468</v>
      </c>
      <c r="F11" s="8" t="s">
        <v>3</v>
      </c>
      <c r="G11" s="1"/>
    </row>
    <row r="12" spans="1:7" ht="15" customHeight="1" x14ac:dyDescent="0.25">
      <c r="A12" s="1"/>
      <c r="B12" s="84" t="s">
        <v>32</v>
      </c>
      <c r="C12" s="85"/>
      <c r="D12" s="86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31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34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33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20</v>
      </c>
      <c r="C16" s="82"/>
      <c r="D16" s="83"/>
      <c r="E16" s="9">
        <f>SUM(E9:E15)*'Fane 14. Nøgletal'!C12</f>
        <v>1487806.3081014454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krav'!G11</f>
        <v>-629342.83851367084</v>
      </c>
      <c r="F17" s="8" t="s">
        <v>3</v>
      </c>
      <c r="G17" s="1"/>
    </row>
    <row r="18" spans="1:7" ht="15" customHeight="1" x14ac:dyDescent="0.25">
      <c r="A18" s="1"/>
      <c r="B18" s="81" t="s">
        <v>29</v>
      </c>
      <c r="C18" s="82"/>
      <c r="D18" s="83"/>
      <c r="E18" s="9">
        <f>-'Fane 4.1. Gen. krav - drift'!G28</f>
        <v>-340849.95989055908</v>
      </c>
      <c r="F18" s="8" t="s">
        <v>3</v>
      </c>
      <c r="G18" s="1"/>
    </row>
    <row r="19" spans="1:7" ht="15" customHeight="1" x14ac:dyDescent="0.25">
      <c r="A19" s="1"/>
      <c r="B19" s="81" t="s">
        <v>30</v>
      </c>
      <c r="C19" s="82"/>
      <c r="D19" s="83"/>
      <c r="E19" s="9">
        <f>-'Fane 4.2. Gen. krav - anlæg'!G25</f>
        <v>-1722181.3735797333</v>
      </c>
      <c r="F19" s="8" t="s">
        <v>3</v>
      </c>
      <c r="G19" s="1"/>
    </row>
    <row r="20" spans="1:7" ht="15" customHeight="1" x14ac:dyDescent="0.25">
      <c r="A20" s="1"/>
      <c r="B20" s="50" t="s">
        <v>22</v>
      </c>
      <c r="C20" s="51"/>
      <c r="D20" s="56"/>
      <c r="E20" s="10">
        <f>SUM(E9:E19)</f>
        <v>74318594.983906582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7" t="s">
        <v>13</v>
      </c>
      <c r="C22" s="88"/>
      <c r="D22" s="89"/>
      <c r="E22" s="10">
        <v>18213415.180903662</v>
      </c>
      <c r="F22" s="11" t="s">
        <v>3</v>
      </c>
      <c r="G22" s="1"/>
    </row>
    <row r="23" spans="1:7" ht="15" customHeight="1" x14ac:dyDescent="0.25">
      <c r="A23" s="1"/>
      <c r="B23" s="90" t="s">
        <v>114</v>
      </c>
      <c r="C23" s="91"/>
      <c r="D23" s="92"/>
      <c r="E23" s="32"/>
      <c r="F23" s="32"/>
      <c r="G23" s="1"/>
    </row>
    <row r="24" spans="1:7" ht="15" customHeight="1" x14ac:dyDescent="0.25">
      <c r="A24" s="1"/>
      <c r="B24" s="50" t="s">
        <v>114</v>
      </c>
      <c r="C24" s="44"/>
      <c r="D24" s="45"/>
      <c r="E24" s="10">
        <v>2655765.8282940635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4" t="s">
        <v>109</v>
      </c>
      <c r="C26" s="85"/>
      <c r="D26" s="86"/>
      <c r="E26" s="9">
        <v>0</v>
      </c>
      <c r="F26" s="8" t="s">
        <v>3</v>
      </c>
      <c r="G26" s="1"/>
    </row>
    <row r="27" spans="1:7" ht="15" customHeight="1" x14ac:dyDescent="0.25">
      <c r="A27" s="1"/>
      <c r="B27" s="84" t="s">
        <v>110</v>
      </c>
      <c r="C27" s="85"/>
      <c r="D27" s="85"/>
      <c r="E27" s="9">
        <v>0</v>
      </c>
      <c r="F27" s="8" t="s">
        <v>3</v>
      </c>
      <c r="G27" s="1"/>
    </row>
    <row r="28" spans="1:7" ht="15" customHeight="1" x14ac:dyDescent="0.25">
      <c r="A28" s="1"/>
      <c r="B28" s="94" t="s">
        <v>115</v>
      </c>
      <c r="C28" s="95"/>
      <c r="D28" s="95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7" t="s">
        <v>260</v>
      </c>
      <c r="C30" s="88"/>
      <c r="D30" s="88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7" t="s">
        <v>262</v>
      </c>
      <c r="C32" s="88"/>
      <c r="D32" s="88"/>
      <c r="E32" s="46">
        <v>-2900819.8803723603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7" t="s">
        <v>264</v>
      </c>
      <c r="C34" s="88"/>
      <c r="D34" s="89"/>
      <c r="E34" s="10">
        <v>-1050290.890032918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91236665.222699031</v>
      </c>
      <c r="F35" s="13" t="s">
        <v>3</v>
      </c>
      <c r="G35" s="1"/>
    </row>
    <row r="36" spans="1:7" ht="27" customHeight="1" x14ac:dyDescent="0.25">
      <c r="A36" s="1"/>
      <c r="B36" s="81" t="s">
        <v>218</v>
      </c>
      <c r="C36" s="82"/>
      <c r="D36" s="82"/>
      <c r="E36" s="82"/>
      <c r="F36" s="83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NNHyI4NE5EV3CXFxZxvMfJRBjOJhohEZ2Vm0FtVzPUgUBgqktgPGDdDOzQkSXXyl1dSX3UGul5E4pQRq/OUx3A==" saltValue="TR/Va8jxX3ygtLPHICmFWw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93" t="s">
        <v>163</v>
      </c>
      <c r="C2" s="93"/>
      <c r="D2" s="93"/>
      <c r="E2" s="93"/>
      <c r="F2" s="93"/>
      <c r="G2" s="93"/>
      <c r="H2" s="93"/>
      <c r="I2" s="1"/>
    </row>
    <row r="3" spans="1:9" ht="28.5" customHeight="1" x14ac:dyDescent="0.25">
      <c r="A3" s="1"/>
      <c r="B3" s="93"/>
      <c r="C3" s="93"/>
      <c r="D3" s="93"/>
      <c r="E3" s="93"/>
      <c r="F3" s="93"/>
      <c r="G3" s="93"/>
      <c r="H3" s="93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90" t="s">
        <v>67</v>
      </c>
      <c r="C5" s="91"/>
      <c r="D5" s="91"/>
      <c r="E5" s="91"/>
      <c r="F5" s="91"/>
      <c r="G5" s="91"/>
      <c r="H5" s="92"/>
      <c r="I5" s="1"/>
    </row>
    <row r="6" spans="1:9" x14ac:dyDescent="0.25">
      <c r="A6" s="1"/>
      <c r="B6" s="96" t="s">
        <v>56</v>
      </c>
      <c r="C6" s="97"/>
      <c r="D6" s="97"/>
      <c r="E6" s="97"/>
      <c r="F6" s="98"/>
      <c r="G6" s="24">
        <v>17309332</v>
      </c>
      <c r="H6" s="14" t="s">
        <v>3</v>
      </c>
      <c r="I6" s="1"/>
    </row>
    <row r="7" spans="1:9" x14ac:dyDescent="0.25">
      <c r="A7" s="1"/>
      <c r="B7" s="81" t="s">
        <v>181</v>
      </c>
      <c r="C7" s="82"/>
      <c r="D7" s="82"/>
      <c r="E7" s="82"/>
      <c r="F7" s="83"/>
      <c r="G7" s="24">
        <v>3980608</v>
      </c>
      <c r="H7" s="14" t="s">
        <v>3</v>
      </c>
      <c r="I7" s="1"/>
    </row>
    <row r="8" spans="1:9" x14ac:dyDescent="0.25">
      <c r="A8" s="1"/>
      <c r="B8" s="96" t="s">
        <v>57</v>
      </c>
      <c r="C8" s="97"/>
      <c r="D8" s="97"/>
      <c r="E8" s="97"/>
      <c r="F8" s="98"/>
      <c r="G8" s="24">
        <f>SUM(G6:G7)*'Fane 14. Nøgletal'!C27</f>
        <v>425798.8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0" t="s">
        <v>68</v>
      </c>
      <c r="C11" s="91"/>
      <c r="D11" s="91"/>
      <c r="E11" s="91"/>
      <c r="F11" s="91"/>
      <c r="G11" s="91"/>
      <c r="H11" s="92"/>
      <c r="I11" s="1"/>
    </row>
    <row r="12" spans="1:9" x14ac:dyDescent="0.25">
      <c r="A12" s="1"/>
      <c r="B12" s="96" t="s">
        <v>58</v>
      </c>
      <c r="C12" s="97"/>
      <c r="D12" s="97"/>
      <c r="E12" s="97"/>
      <c r="F12" s="98"/>
      <c r="G12" s="24">
        <f>(G6-G8)*(1+'Fane 14. Nøgletal'!C10)</f>
        <v>17178995.030999999</v>
      </c>
      <c r="H12" s="14" t="s">
        <v>3</v>
      </c>
      <c r="I12" s="1"/>
    </row>
    <row r="13" spans="1:9" ht="15" customHeight="1" x14ac:dyDescent="0.25">
      <c r="A13" s="1"/>
      <c r="B13" s="96" t="s">
        <v>182</v>
      </c>
      <c r="C13" s="97"/>
      <c r="D13" s="97"/>
      <c r="E13" s="97"/>
      <c r="F13" s="98"/>
      <c r="G13" s="24">
        <f>(17303313.7819553-G6)*1.0175</f>
        <v>-6123.536860480458</v>
      </c>
      <c r="H13" s="14" t="s">
        <v>3</v>
      </c>
      <c r="I13" s="1"/>
    </row>
    <row r="14" spans="1:9" x14ac:dyDescent="0.25">
      <c r="A14" s="1"/>
      <c r="B14" s="81" t="s">
        <v>179</v>
      </c>
      <c r="C14" s="82"/>
      <c r="D14" s="82"/>
      <c r="E14" s="82"/>
      <c r="F14" s="83"/>
      <c r="G14" s="24">
        <v>3419907.04</v>
      </c>
      <c r="H14" s="14" t="s">
        <v>3</v>
      </c>
      <c r="I14" s="1"/>
    </row>
    <row r="15" spans="1:9" x14ac:dyDescent="0.25">
      <c r="A15" s="1"/>
      <c r="B15" s="99" t="s">
        <v>59</v>
      </c>
      <c r="C15" s="100"/>
      <c r="D15" s="100"/>
      <c r="E15" s="100"/>
      <c r="F15" s="101"/>
      <c r="G15" s="58">
        <v>0</v>
      </c>
      <c r="H15" s="14" t="s">
        <v>3</v>
      </c>
      <c r="I15" s="1"/>
    </row>
    <row r="16" spans="1:9" x14ac:dyDescent="0.25">
      <c r="A16" s="1"/>
      <c r="B16" s="96" t="s">
        <v>60</v>
      </c>
      <c r="C16" s="97"/>
      <c r="D16" s="97"/>
      <c r="E16" s="97"/>
      <c r="F16" s="98"/>
      <c r="G16" s="24">
        <f>SUM(G12:G15)*'Fane 14. Nøgletal'!C27</f>
        <v>411855.57068279036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0" t="s">
        <v>69</v>
      </c>
      <c r="C19" s="91"/>
      <c r="D19" s="91"/>
      <c r="E19" s="91"/>
      <c r="F19" s="91"/>
      <c r="G19" s="91"/>
      <c r="H19" s="92"/>
      <c r="I19" s="1"/>
    </row>
    <row r="20" spans="1:9" x14ac:dyDescent="0.25">
      <c r="A20" s="1"/>
      <c r="B20" s="96" t="s">
        <v>61</v>
      </c>
      <c r="C20" s="97"/>
      <c r="D20" s="97"/>
      <c r="E20" s="97"/>
      <c r="F20" s="98"/>
      <c r="G20" s="24">
        <f>(SUM(G12:G13,G15)-(G16))*(1+'Fane 14. Nøgletal'!C10)</f>
        <v>17054333.702117223</v>
      </c>
      <c r="H20" s="14" t="s">
        <v>3</v>
      </c>
      <c r="I20" s="1"/>
    </row>
    <row r="21" spans="1:9" x14ac:dyDescent="0.25">
      <c r="A21" s="1"/>
      <c r="B21" s="99" t="s">
        <v>62</v>
      </c>
      <c r="C21" s="100"/>
      <c r="D21" s="100"/>
      <c r="E21" s="100"/>
      <c r="F21" s="101"/>
      <c r="G21" s="58">
        <v>0</v>
      </c>
      <c r="H21" s="14" t="s">
        <v>3</v>
      </c>
      <c r="I21" s="1"/>
    </row>
    <row r="22" spans="1:9" x14ac:dyDescent="0.25">
      <c r="A22" s="1"/>
      <c r="B22" s="96" t="s">
        <v>63</v>
      </c>
      <c r="C22" s="97"/>
      <c r="D22" s="97"/>
      <c r="E22" s="97"/>
      <c r="F22" s="98"/>
      <c r="G22" s="24">
        <f>SUM(G20:G21)*'Fane 14. Nøgletal'!C27</f>
        <v>341086.6740423445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0" t="s">
        <v>70</v>
      </c>
      <c r="C25" s="91"/>
      <c r="D25" s="91"/>
      <c r="E25" s="91"/>
      <c r="F25" s="91"/>
      <c r="G25" s="91"/>
      <c r="H25" s="92"/>
      <c r="I25" s="1"/>
    </row>
    <row r="26" spans="1:9" x14ac:dyDescent="0.25">
      <c r="A26" s="1"/>
      <c r="B26" s="96" t="s">
        <v>64</v>
      </c>
      <c r="C26" s="97"/>
      <c r="D26" s="97"/>
      <c r="E26" s="97"/>
      <c r="F26" s="98"/>
      <c r="G26" s="24">
        <f>(G20+G21-G22)*(1+'Fane 14. Nøgletal'!C12)</f>
        <v>17042497.994527955</v>
      </c>
      <c r="H26" s="14" t="s">
        <v>3</v>
      </c>
      <c r="I26" s="1"/>
    </row>
    <row r="27" spans="1:9" x14ac:dyDescent="0.25">
      <c r="A27" s="1"/>
      <c r="B27" s="99" t="s">
        <v>65</v>
      </c>
      <c r="C27" s="100"/>
      <c r="D27" s="100"/>
      <c r="E27" s="100"/>
      <c r="F27" s="101"/>
      <c r="G27" s="58">
        <v>0</v>
      </c>
      <c r="H27" s="14" t="s">
        <v>3</v>
      </c>
      <c r="I27" s="1"/>
    </row>
    <row r="28" spans="1:9" x14ac:dyDescent="0.25">
      <c r="A28" s="1"/>
      <c r="B28" s="96" t="s">
        <v>66</v>
      </c>
      <c r="C28" s="97"/>
      <c r="D28" s="97"/>
      <c r="E28" s="97"/>
      <c r="F28" s="98"/>
      <c r="G28" s="24">
        <f>(G26+G27)*'Fane 14. Nøgletal'!C27</f>
        <v>340849.95989055908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0" t="s">
        <v>73</v>
      </c>
      <c r="C31" s="91"/>
      <c r="D31" s="91"/>
      <c r="E31" s="91"/>
      <c r="F31" s="91"/>
      <c r="G31" s="91"/>
      <c r="H31" s="92"/>
      <c r="I31" s="1"/>
    </row>
    <row r="32" spans="1:9" x14ac:dyDescent="0.25">
      <c r="A32" s="1"/>
      <c r="B32" s="96" t="s">
        <v>74</v>
      </c>
      <c r="C32" s="97"/>
      <c r="D32" s="97"/>
      <c r="E32" s="97"/>
      <c r="F32" s="98"/>
      <c r="G32" s="24">
        <f>(G26+G27-G28)*(1+'Fane 14. Nøgletal'!C12)</f>
        <v>17030670.500919752</v>
      </c>
      <c r="H32" s="14" t="s">
        <v>3</v>
      </c>
      <c r="I32" s="1"/>
    </row>
    <row r="33" spans="1:9" x14ac:dyDescent="0.25">
      <c r="A33" s="1"/>
      <c r="B33" s="96" t="s">
        <v>230</v>
      </c>
      <c r="C33" s="97"/>
      <c r="D33" s="97"/>
      <c r="E33" s="97"/>
      <c r="F33" s="98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6" t="s">
        <v>75</v>
      </c>
      <c r="C34" s="97"/>
      <c r="D34" s="97"/>
      <c r="E34" s="97"/>
      <c r="F34" s="98"/>
      <c r="G34" s="24">
        <f>(G32+G33)*'Fane 14. Nøgletal'!C27</f>
        <v>340613.41001839505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0" t="s">
        <v>100</v>
      </c>
      <c r="C37" s="91"/>
      <c r="D37" s="91"/>
      <c r="E37" s="91"/>
      <c r="F37" s="91"/>
      <c r="G37" s="91"/>
      <c r="H37" s="92"/>
      <c r="I37" s="1"/>
    </row>
    <row r="38" spans="1:9" x14ac:dyDescent="0.25">
      <c r="A38" s="1"/>
      <c r="B38" s="96" t="s">
        <v>99</v>
      </c>
      <c r="C38" s="97"/>
      <c r="D38" s="97"/>
      <c r="E38" s="97"/>
      <c r="F38" s="98"/>
      <c r="G38" s="24">
        <f>(G32+G33-G34)*(1+'Fane 14. Nøgletal'!C13)</f>
        <v>16893675.787410352</v>
      </c>
      <c r="H38" s="14" t="s">
        <v>3</v>
      </c>
      <c r="I38" s="1"/>
    </row>
    <row r="39" spans="1:9" x14ac:dyDescent="0.25">
      <c r="A39" s="1"/>
      <c r="B39" s="96" t="s">
        <v>117</v>
      </c>
      <c r="C39" s="97"/>
      <c r="D39" s="97"/>
      <c r="E39" s="97"/>
      <c r="F39" s="98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6" t="s">
        <v>76</v>
      </c>
      <c r="C40" s="97"/>
      <c r="D40" s="97"/>
      <c r="E40" s="97"/>
      <c r="F40" s="98"/>
      <c r="G40" s="24">
        <f>(G38+G39)*'Fane 14. Nøgletal'!C27</f>
        <v>337873.51574820705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0" t="s">
        <v>101</v>
      </c>
      <c r="C43" s="91"/>
      <c r="D43" s="91"/>
      <c r="E43" s="91"/>
      <c r="F43" s="91"/>
      <c r="G43" s="91"/>
      <c r="H43" s="92"/>
      <c r="I43" s="1"/>
    </row>
    <row r="44" spans="1:9" x14ac:dyDescent="0.25">
      <c r="A44" s="1"/>
      <c r="B44" s="96" t="s">
        <v>98</v>
      </c>
      <c r="C44" s="97"/>
      <c r="D44" s="97"/>
      <c r="E44" s="97"/>
      <c r="F44" s="98"/>
      <c r="G44" s="24">
        <f>(G38+G39-G40)*(1+'Fane 14. Nøgletal'!C13)</f>
        <v>16757783.059376424</v>
      </c>
      <c r="H44" s="14" t="s">
        <v>3</v>
      </c>
      <c r="I44" s="1"/>
    </row>
    <row r="45" spans="1:9" x14ac:dyDescent="0.25">
      <c r="A45" s="1"/>
      <c r="B45" s="96" t="s">
        <v>118</v>
      </c>
      <c r="C45" s="97"/>
      <c r="D45" s="97"/>
      <c r="E45" s="97"/>
      <c r="F45" s="98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6" t="s">
        <v>77</v>
      </c>
      <c r="C46" s="97"/>
      <c r="D46" s="97"/>
      <c r="E46" s="97"/>
      <c r="F46" s="98"/>
      <c r="G46" s="24">
        <f>(G44+G45)*'Fane 14. Nøgletal'!C27</f>
        <v>335155.66118752852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0" t="s">
        <v>231</v>
      </c>
      <c r="C51" s="91"/>
      <c r="D51" s="91"/>
      <c r="E51" s="91"/>
      <c r="F51" s="91"/>
      <c r="G51" s="91"/>
      <c r="H51" s="92"/>
      <c r="I51" s="1"/>
    </row>
    <row r="52" spans="1:9" x14ac:dyDescent="0.25">
      <c r="A52" s="1"/>
      <c r="B52" s="96" t="s">
        <v>232</v>
      </c>
      <c r="C52" s="97"/>
      <c r="D52" s="97"/>
      <c r="E52" s="97"/>
      <c r="F52" s="98"/>
      <c r="G52" s="24">
        <f>(G44+G45-G46)*(1+'Fane 14. Nøgletal'!C13)</f>
        <v>16622983.452446802</v>
      </c>
      <c r="H52" s="14" t="s">
        <v>3</v>
      </c>
      <c r="I52" s="1"/>
    </row>
    <row r="53" spans="1:9" x14ac:dyDescent="0.25">
      <c r="A53" s="1"/>
      <c r="B53" s="96" t="s">
        <v>233</v>
      </c>
      <c r="C53" s="97"/>
      <c r="D53" s="97"/>
      <c r="E53" s="97"/>
      <c r="F53" s="98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6" t="s">
        <v>234</v>
      </c>
      <c r="C54" s="97"/>
      <c r="D54" s="97"/>
      <c r="E54" s="97"/>
      <c r="F54" s="98"/>
      <c r="G54" s="24">
        <f>(G52+G53)*'Fane 14. Nøgletal'!C27</f>
        <v>332459.66904893605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ytAehVXV1FGC3i0VLmqHkDIfXIvTEPXuio+9qeJ7GpDb/P3K2nDrvIwWN7bAUBFijTgaA2ZZsE9eoXA7LbNKGQ==" saltValue="1gFQ3G0i5ALCcDevLR3HyA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02" t="s">
        <v>164</v>
      </c>
      <c r="C1" s="102"/>
      <c r="D1" s="102"/>
      <c r="E1" s="102"/>
      <c r="F1" s="102"/>
      <c r="G1" s="102"/>
      <c r="H1" s="102"/>
      <c r="I1" s="1"/>
    </row>
    <row r="2" spans="1:9" ht="15" customHeight="1" x14ac:dyDescent="0.25">
      <c r="A2" s="1"/>
      <c r="B2" s="102"/>
      <c r="C2" s="102"/>
      <c r="D2" s="102"/>
      <c r="E2" s="102"/>
      <c r="F2" s="102"/>
      <c r="G2" s="102"/>
      <c r="H2" s="102"/>
      <c r="I2" s="1"/>
    </row>
    <row r="3" spans="1:9" ht="15" customHeight="1" x14ac:dyDescent="0.25">
      <c r="A3" s="1"/>
      <c r="B3" s="103"/>
      <c r="C3" s="103"/>
      <c r="D3" s="103"/>
      <c r="E3" s="103"/>
      <c r="F3" s="103"/>
      <c r="G3" s="103"/>
      <c r="H3" s="103"/>
      <c r="I3" s="1"/>
    </row>
    <row r="4" spans="1:9" x14ac:dyDescent="0.25">
      <c r="A4" s="1"/>
      <c r="B4" s="90" t="s">
        <v>71</v>
      </c>
      <c r="C4" s="91"/>
      <c r="D4" s="91"/>
      <c r="E4" s="91"/>
      <c r="F4" s="91"/>
      <c r="G4" s="91"/>
      <c r="H4" s="92"/>
      <c r="I4" s="1"/>
    </row>
    <row r="5" spans="1:9" x14ac:dyDescent="0.25">
      <c r="A5" s="1"/>
      <c r="B5" s="96" t="s">
        <v>78</v>
      </c>
      <c r="C5" s="97"/>
      <c r="D5" s="97"/>
      <c r="E5" s="97"/>
      <c r="F5" s="98"/>
      <c r="G5" s="24">
        <v>58430043</v>
      </c>
      <c r="H5" s="14" t="s">
        <v>3</v>
      </c>
      <c r="I5" s="1"/>
    </row>
    <row r="6" spans="1:9" x14ac:dyDescent="0.25">
      <c r="A6" s="1"/>
      <c r="B6" s="96" t="s">
        <v>72</v>
      </c>
      <c r="C6" s="97"/>
      <c r="D6" s="97"/>
      <c r="E6" s="97"/>
      <c r="F6" s="98"/>
      <c r="G6" s="24">
        <f>G5*'Fane 14. Nøgletal'!C18</f>
        <v>531713.39130000002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0" t="s">
        <v>79</v>
      </c>
      <c r="C9" s="91"/>
      <c r="D9" s="91"/>
      <c r="E9" s="91"/>
      <c r="F9" s="91"/>
      <c r="G9" s="91"/>
      <c r="H9" s="92"/>
      <c r="I9" s="1"/>
    </row>
    <row r="10" spans="1:9" x14ac:dyDescent="0.25">
      <c r="A10" s="1"/>
      <c r="B10" s="96" t="s">
        <v>80</v>
      </c>
      <c r="C10" s="97"/>
      <c r="D10" s="97"/>
      <c r="E10" s="97"/>
      <c r="F10" s="98"/>
      <c r="G10" s="24">
        <f>(G5-G6)*(1+'Fane 14. Nøgletal'!C10)</f>
        <v>58911550.376852252</v>
      </c>
      <c r="H10" s="14" t="s">
        <v>3</v>
      </c>
      <c r="I10" s="1"/>
    </row>
    <row r="11" spans="1:9" x14ac:dyDescent="0.25">
      <c r="A11" s="1"/>
      <c r="B11" s="96" t="s">
        <v>183</v>
      </c>
      <c r="C11" s="97"/>
      <c r="D11" s="97"/>
      <c r="E11" s="97"/>
      <c r="F11" s="98"/>
      <c r="G11" s="24">
        <f>(58293015.80673-G5)*1.0175</f>
        <v>-139425.16915222281</v>
      </c>
      <c r="H11" s="14" t="s">
        <v>3</v>
      </c>
      <c r="I11" s="1"/>
    </row>
    <row r="12" spans="1:9" x14ac:dyDescent="0.25">
      <c r="A12" s="1"/>
      <c r="B12" s="99" t="s">
        <v>81</v>
      </c>
      <c r="C12" s="100"/>
      <c r="D12" s="100"/>
      <c r="E12" s="100"/>
      <c r="F12" s="101"/>
      <c r="G12" s="58">
        <v>0</v>
      </c>
      <c r="H12" s="14" t="s">
        <v>3</v>
      </c>
      <c r="I12" s="1"/>
    </row>
    <row r="13" spans="1:9" x14ac:dyDescent="0.25">
      <c r="A13" s="1"/>
      <c r="B13" s="96" t="s">
        <v>82</v>
      </c>
      <c r="C13" s="97"/>
      <c r="D13" s="97"/>
      <c r="E13" s="97"/>
      <c r="F13" s="98"/>
      <c r="G13" s="24">
        <f>SUM(G10:G12)*'Fane 14. Nøgletal'!C19</f>
        <v>1040266.6161762906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0" t="s">
        <v>83</v>
      </c>
      <c r="C16" s="91"/>
      <c r="D16" s="91"/>
      <c r="E16" s="91"/>
      <c r="F16" s="91"/>
      <c r="G16" s="91"/>
      <c r="H16" s="92"/>
      <c r="I16" s="1"/>
    </row>
    <row r="17" spans="1:9" x14ac:dyDescent="0.25">
      <c r="A17" s="1"/>
      <c r="B17" s="96" t="s">
        <v>84</v>
      </c>
      <c r="C17" s="97"/>
      <c r="D17" s="97"/>
      <c r="E17" s="97"/>
      <c r="F17" s="98"/>
      <c r="G17" s="24">
        <f>(SUM(G10:G12)-G13)*(1+'Fane 14. Nøgletal'!C10)</f>
        <v>58742166.116875403</v>
      </c>
      <c r="H17" s="14" t="s">
        <v>3</v>
      </c>
      <c r="I17" s="1"/>
    </row>
    <row r="18" spans="1:9" x14ac:dyDescent="0.25">
      <c r="A18" s="1"/>
      <c r="B18" s="99" t="s">
        <v>85</v>
      </c>
      <c r="C18" s="100"/>
      <c r="D18" s="100"/>
      <c r="E18" s="100"/>
      <c r="F18" s="101"/>
      <c r="G18" s="58">
        <v>0</v>
      </c>
      <c r="H18" s="14" t="s">
        <v>3</v>
      </c>
      <c r="I18" s="1"/>
    </row>
    <row r="19" spans="1:9" x14ac:dyDescent="0.25">
      <c r="A19" s="1"/>
      <c r="B19" s="96" t="s">
        <v>86</v>
      </c>
      <c r="C19" s="97"/>
      <c r="D19" s="97"/>
      <c r="E19" s="97"/>
      <c r="F19" s="98"/>
      <c r="G19" s="24">
        <f>G17*'Fane 14. Nøgletal'!C19+G18*'Fane 14. Nøgletal'!C20</f>
        <v>1039736.3402686947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0" t="s">
        <v>87</v>
      </c>
      <c r="C22" s="91"/>
      <c r="D22" s="91"/>
      <c r="E22" s="91"/>
      <c r="F22" s="91"/>
      <c r="G22" s="91"/>
      <c r="H22" s="92"/>
      <c r="I22" s="1"/>
    </row>
    <row r="23" spans="1:9" x14ac:dyDescent="0.25">
      <c r="A23" s="1"/>
      <c r="B23" s="96" t="s">
        <v>88</v>
      </c>
      <c r="C23" s="97"/>
      <c r="D23" s="97"/>
      <c r="E23" s="97"/>
      <c r="F23" s="98"/>
      <c r="G23" s="24">
        <f>(G17+G18-G19)*(1+'Fane 14. Nøgletal'!C12)</f>
        <v>58839167.643205866</v>
      </c>
      <c r="H23" s="14" t="s">
        <v>3</v>
      </c>
      <c r="I23" s="1"/>
    </row>
    <row r="24" spans="1:9" x14ac:dyDescent="0.25">
      <c r="A24" s="1"/>
      <c r="B24" s="99" t="s">
        <v>89</v>
      </c>
      <c r="C24" s="100"/>
      <c r="D24" s="100"/>
      <c r="E24" s="100"/>
      <c r="F24" s="101"/>
      <c r="G24" s="24">
        <v>1801021.5673481196</v>
      </c>
      <c r="H24" s="14" t="s">
        <v>3</v>
      </c>
      <c r="I24" s="1"/>
    </row>
    <row r="25" spans="1:9" x14ac:dyDescent="0.25">
      <c r="A25" s="1"/>
      <c r="B25" s="96" t="s">
        <v>90</v>
      </c>
      <c r="C25" s="97"/>
      <c r="D25" s="97"/>
      <c r="E25" s="97"/>
      <c r="F25" s="98"/>
      <c r="G25" s="24">
        <f>(G23+G24)*'Fane 14. Nøgletal'!C21</f>
        <v>1722181.3735797333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0" t="s">
        <v>91</v>
      </c>
      <c r="C28" s="91"/>
      <c r="D28" s="91"/>
      <c r="E28" s="91"/>
      <c r="F28" s="91"/>
      <c r="G28" s="91"/>
      <c r="H28" s="92"/>
      <c r="I28" s="1"/>
    </row>
    <row r="29" spans="1:9" x14ac:dyDescent="0.25">
      <c r="A29" s="1"/>
      <c r="B29" s="96" t="s">
        <v>92</v>
      </c>
      <c r="C29" s="97"/>
      <c r="D29" s="97"/>
      <c r="E29" s="97"/>
      <c r="F29" s="98"/>
      <c r="G29" s="24">
        <f>(G23+G24-G25)*(1+'Fane 14. Nøgletal'!C12)</f>
        <v>60078692.591362655</v>
      </c>
      <c r="H29" s="14" t="s">
        <v>3</v>
      </c>
      <c r="I29" s="1"/>
    </row>
    <row r="30" spans="1:9" x14ac:dyDescent="0.25">
      <c r="A30" s="1"/>
      <c r="B30" s="96" t="s">
        <v>235</v>
      </c>
      <c r="C30" s="97"/>
      <c r="D30" s="97"/>
      <c r="E30" s="97"/>
      <c r="F30" s="98"/>
      <c r="G30" s="24">
        <f>SUM('Fane 2.1. Økonomisk ramme 2021'!C11,'Fane 2.1. Økonomisk ramme 2021'!C13,'Fane 2.1. Økonomisk ramme 2021'!C15)*(1+'Fane 14. Nøgletal'!C13)</f>
        <v>3651598.7367307795</v>
      </c>
      <c r="H30" s="14" t="s">
        <v>3</v>
      </c>
      <c r="I30" s="1"/>
    </row>
    <row r="31" spans="1:9" x14ac:dyDescent="0.25">
      <c r="A31" s="1"/>
      <c r="B31" s="96" t="s">
        <v>93</v>
      </c>
      <c r="C31" s="97"/>
      <c r="D31" s="97"/>
      <c r="E31" s="97"/>
      <c r="F31" s="98"/>
      <c r="G31" s="24">
        <f>G29*'Fane 14. Nøgletal'!C21+G30*'Fane 14. Nøgletal'!C22</f>
        <v>1806653.8348547958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0" t="s">
        <v>102</v>
      </c>
      <c r="C34" s="91"/>
      <c r="D34" s="91"/>
      <c r="E34" s="91"/>
      <c r="F34" s="91"/>
      <c r="G34" s="91"/>
      <c r="H34" s="92"/>
      <c r="I34" s="1"/>
    </row>
    <row r="35" spans="1:9" x14ac:dyDescent="0.25">
      <c r="A35" s="1"/>
      <c r="B35" s="96" t="s">
        <v>97</v>
      </c>
      <c r="C35" s="97"/>
      <c r="D35" s="97"/>
      <c r="E35" s="97"/>
      <c r="F35" s="98"/>
      <c r="G35" s="24">
        <f>(G29+G30-G31)*(1+'Fane 14. Nøgletal'!C13)</f>
        <v>62679105.870656148</v>
      </c>
      <c r="H35" s="14" t="s">
        <v>3</v>
      </c>
      <c r="I35" s="1"/>
    </row>
    <row r="36" spans="1:9" x14ac:dyDescent="0.25">
      <c r="A36" s="1"/>
      <c r="B36" s="96" t="s">
        <v>122</v>
      </c>
      <c r="C36" s="97"/>
      <c r="D36" s="97"/>
      <c r="E36" s="97"/>
      <c r="F36" s="98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6" t="s">
        <v>94</v>
      </c>
      <c r="C37" s="97"/>
      <c r="D37" s="97"/>
      <c r="E37" s="97"/>
      <c r="F37" s="98"/>
      <c r="G37" s="24">
        <f>(G35+G36)*'Fane 14. Nøgletal'!C22</f>
        <v>1723675.411443044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0" t="s">
        <v>103</v>
      </c>
      <c r="C40" s="91"/>
      <c r="D40" s="91"/>
      <c r="E40" s="91"/>
      <c r="F40" s="91"/>
      <c r="G40" s="91"/>
      <c r="H40" s="92"/>
      <c r="I40" s="1"/>
    </row>
    <row r="41" spans="1:9" x14ac:dyDescent="0.25">
      <c r="A41" s="1"/>
      <c r="B41" s="96" t="s">
        <v>96</v>
      </c>
      <c r="C41" s="97"/>
      <c r="D41" s="97"/>
      <c r="E41" s="97"/>
      <c r="F41" s="98"/>
      <c r="G41" s="24">
        <f>(G35+G36-G37)*(1+'Fane 14. Nøgletal'!C13)</f>
        <v>61699086.710815497</v>
      </c>
      <c r="H41" s="14" t="s">
        <v>3</v>
      </c>
      <c r="I41" s="1"/>
    </row>
    <row r="42" spans="1:9" x14ac:dyDescent="0.25">
      <c r="A42" s="1"/>
      <c r="B42" s="96" t="s">
        <v>123</v>
      </c>
      <c r="C42" s="97"/>
      <c r="D42" s="97"/>
      <c r="E42" s="97"/>
      <c r="F42" s="98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6" t="s">
        <v>95</v>
      </c>
      <c r="C43" s="97"/>
      <c r="D43" s="97"/>
      <c r="E43" s="97"/>
      <c r="F43" s="98"/>
      <c r="G43" s="24">
        <f>(G41+G42)*'Fane 14. Nøgletal'!C22</f>
        <v>1696724.8845474261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0" t="s">
        <v>240</v>
      </c>
      <c r="C46" s="91"/>
      <c r="D46" s="91"/>
      <c r="E46" s="91"/>
      <c r="F46" s="91"/>
      <c r="G46" s="91"/>
      <c r="H46" s="92"/>
      <c r="I46" s="1"/>
    </row>
    <row r="47" spans="1:9" x14ac:dyDescent="0.25">
      <c r="A47" s="1"/>
      <c r="B47" s="96" t="s">
        <v>241</v>
      </c>
      <c r="C47" s="97"/>
      <c r="D47" s="97"/>
      <c r="E47" s="97"/>
      <c r="F47" s="98"/>
      <c r="G47" s="24">
        <f>(G41+G42-G43)*(1+'Fane 14. Nøgletal'!C13)</f>
        <v>60734390.640548542</v>
      </c>
      <c r="H47" s="14" t="s">
        <v>3</v>
      </c>
      <c r="I47" s="1"/>
    </row>
    <row r="48" spans="1:9" x14ac:dyDescent="0.25">
      <c r="A48" s="1"/>
      <c r="B48" s="96" t="s">
        <v>242</v>
      </c>
      <c r="C48" s="97"/>
      <c r="D48" s="97"/>
      <c r="E48" s="97"/>
      <c r="F48" s="98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6" t="s">
        <v>243</v>
      </c>
      <c r="C49" s="97"/>
      <c r="D49" s="97"/>
      <c r="E49" s="97"/>
      <c r="F49" s="98"/>
      <c r="G49" s="24">
        <f>(G47+G48)*'Fane 14. Nøgletal'!C22</f>
        <v>1670195.7426150849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8sBRMa+/traa14AAyARyu4AA13b0EjnlbOSPSJH20oDcbpFoelydo0QHIYoV0c83GQ5mFyUPhd3xCbLX6HMs9Q==" saltValue="P0cAz3rcqzdxG84ddeRC2Q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116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10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6" t="s">
        <v>104</v>
      </c>
      <c r="C9" s="97"/>
      <c r="D9" s="97"/>
      <c r="E9" s="97"/>
      <c r="F9" s="98"/>
      <c r="G9" s="23">
        <v>9.2707243099714662E-3</v>
      </c>
      <c r="H9" s="14"/>
      <c r="I9" s="1"/>
    </row>
    <row r="10" spans="1:9" x14ac:dyDescent="0.25">
      <c r="A10" s="1"/>
      <c r="B10" s="96" t="s">
        <v>105</v>
      </c>
      <c r="C10" s="97"/>
      <c r="D10" s="97"/>
      <c r="E10" s="97"/>
      <c r="F10" s="98"/>
      <c r="G10" s="23">
        <v>0</v>
      </c>
      <c r="H10" s="14"/>
      <c r="I10" s="1"/>
    </row>
    <row r="11" spans="1:9" x14ac:dyDescent="0.25">
      <c r="A11" s="1"/>
      <c r="B11" s="96" t="s">
        <v>106</v>
      </c>
      <c r="C11" s="97"/>
      <c r="D11" s="97"/>
      <c r="E11" s="97"/>
      <c r="F11" s="98"/>
      <c r="G11" s="41">
        <v>8.1721194449548423E-3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81" t="s">
        <v>258</v>
      </c>
      <c r="C13" s="82"/>
      <c r="D13" s="82"/>
      <c r="E13" s="82"/>
      <c r="F13" s="82"/>
      <c r="G13" s="82"/>
      <c r="H13" s="83"/>
      <c r="I13" s="1"/>
    </row>
    <row r="14" spans="1:9" ht="14.25" customHeight="1" x14ac:dyDescent="0.25">
      <c r="A14" s="18"/>
      <c r="B14" s="104"/>
      <c r="C14" s="104"/>
      <c r="D14" s="104"/>
      <c r="E14" s="104"/>
      <c r="F14" s="104"/>
      <c r="G14" s="104"/>
      <c r="H14" s="104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qEqpygukA7V3oSe6+UzPJ+s/eK6/9sw4dKr849xf026pdOBRjGvxxBxdE7IK6yEwo0CBCbqs1sZIZeeFAjpm9Q==" saltValue="42i1fsjKUzHuJgbAjnzuzg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2020-10-21T08:27:18Z</dcterms:modified>
</cp:coreProperties>
</file>