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Egedal AS (S013)\ØR2024\"/>
    </mc:Choice>
  </mc:AlternateContent>
  <xr:revisionPtr revIDLastSave="0" documentId="13_ncr:1_{10272D34-E3EE-4B63-9D57-E1D039F5C55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25" i="44" l="1"/>
  <c r="E16" i="44" l="1"/>
  <c r="E18" i="44" s="1"/>
  <c r="E17" i="44"/>
  <c r="E29" i="44" l="1"/>
  <c r="E31" i="44" s="1"/>
  <c r="C9" i="2"/>
  <c r="C20" i="15" l="1"/>
  <c r="C32" i="2"/>
  <c r="E30" i="20"/>
  <c r="E29" i="20"/>
  <c r="E24" i="20"/>
  <c r="E23" i="20"/>
  <c r="E25" i="20" s="1"/>
  <c r="E31" i="20" l="1"/>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<sst xmlns="http://schemas.openxmlformats.org/spreadsheetml/2006/main" count="656" uniqueCount="291">
  <si>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</si>
  <si>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</si>
  <si>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</si>
  <si>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</si>
  <si>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</si>
  <si>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</si>
  <si>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</si>
  <si>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</si>
  <si>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</si>
  <si>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</si>
  <si>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</si>
  <si>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</si>
  <si>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</si>
  <si>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</si>
  <si>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</si>
  <si>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</si>
  <si>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</si>
  <si>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</si>
  <si>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</si>
  <si>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</si>
  <si>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</si>
  <si>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</si>
  <si>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</si>
  <si>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</si>
  <si>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</si>
  <si>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</si>
  <si>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</si>
  <si>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</si>
  <si>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</si>
  <si>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</si>
  <si>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</si>
  <si>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</si>
  <si>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</si>
  <si>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</si>
  <si>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</si>
  <si>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</si>
  <si>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</si>
  <si>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</si>
  <si>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</si>
  <si>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</si>
  <si>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</si>
  <si>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</si>
  <si>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</si>
  <si>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</si>
  <si>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</si>
  <si>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</si>
  <si>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</si>
  <si>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</si>
  <si>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</si>
  <si>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</si>
  <si>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</si>
  <si>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</si>
  <si>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</si>
  <si>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</si>
  <si>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</si>
  <si>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</si>
  <si>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</si>
  <si>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</si>
  <si>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</si>
  <si>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</si>
  <si>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</si>
  <si>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</si>
  <si>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</si>
  <si>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</si>
  <si>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</si>
  <si>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</si>
  <si>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</si>
  <si>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</si>
  <si>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</si>
  <si>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</si>
  <si>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</si>
  <si>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</si>
  <si>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</si>
  <si>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</si>
  <si>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</si>
  <si>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</si>
  <si>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</si>
  <si>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</si>
  <si>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</si>
  <si>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</si>
  <si>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</si>
  <si>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</si>
  <si>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</si>
  <si>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</si>
  <si>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</si>
  <si>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</si>
  <si>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</si>
  <si>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</si>
  <si>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</si>
  <si>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</si>
  <si>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</si>
  <si>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</si>
  <si>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</si>
  <si>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</si>
  <si>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</si>
  <si>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</si>
  <si>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</si>
  <si>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</si>
  <si>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</si>
  <si>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</si>
  <si>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</si>
  <si>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</si>
  <si>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</si>
  <si>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</si>
  <si>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</si>
  <si>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</si>
  <si>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</si>
  <si>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</si>
  <si>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</si>
  <si>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</si>
  <si>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</si>
  <si>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</si>
  <si>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</si>
  <si>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</si>
  <si>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</si>
  <si>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</si>
  <si>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</si>
  <si>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</si>
  <si>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</si>
  <si>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</si>
  <si>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</si>
  <si>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</si>
  <si>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</si>
  <si>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</si>
  <si>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</si>
  <si>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</si>
  <si>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</si>
  <si>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</si>
  <si>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</si>
  <si>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</si>
  <si>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</si>
  <si>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</si>
  <si>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</si>
  <si>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</si>
  <si>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</si>
  <si>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</si>
  <si>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</si>
  <si>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</si>
  <si>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</si>
  <si>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</si>
  <si>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</si>
  <si>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</si>
  <si>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</si>
  <si>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</si>
  <si>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</si>
  <si>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</si>
  <si>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</si>
  <si>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</si>
  <si>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</si>
  <si>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</si>
  <si>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</si>
  <si>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</si>
  <si>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</si>
  <si>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</si>
  <si>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</si>
  <si>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</si>
  <si>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</si>
  <si>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</si>
  <si>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</si>
  <si>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</si>
  <si>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</si>
  <si>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</si>
  <si>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</si>
  <si>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</si>
  <si>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</si>
  <si>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</si>
  <si>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</si>
  <si>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</si>
  <si>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</si>
  <si>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</si>
  <si>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</si>
  <si>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</si>
  <si>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</si>
  <si>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</si>
  <si>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</si>
  <si>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</si>
  <si>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</si>
  <si>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</si>
  <si>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</si>
  <si>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</si>
  <si>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</si>
  <si>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</si>
  <si>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</si>
  <si>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</si>
  <si>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</si>
  <si>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</si>
  <si>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</si>
  <si>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</si>
  <si>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</si>
  <si>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</si>
  <si>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</si>
  <si>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</si>
  <si>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</si>
  <si>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</si>
  <si>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</si>
  <si>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</si>
  <si>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</si>
  <si>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</si>
  <si>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</si>
  <si>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</si>
  <si>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</si>
  <si>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</si>
  <si>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</si>
  <si>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</si>
  <si>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</si>
  <si>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</si>
  <si>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</si>
  <si>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</si>
  <si>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</si>
  <si>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</si>
  <si>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</si>
  <si>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</si>
  <si>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</si>
  <si>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</si>
  <si>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</si>
  <si>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</si>
  <si>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</si>
  <si>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</si>
  <si>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</si>
  <si>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</si>
  <si>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</si>
  <si>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</si>
  <si>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</si>
  <si>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</si>
  <si>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</si>
  <si>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</si>
  <si>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</si>
  <si>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</si>
  <si>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</si>
  <si>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</si>
  <si>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</si>
  <si>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</si>
  <si>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</si>
  <si>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</si>
  <si>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</si>
  <si>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</si>
  <si>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</si>
  <si>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</si>
  <si>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</si>
  <si>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</si>
  <si>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</si>
  <si>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</si>
  <si>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</si>
  <si>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</si>
  <si>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</si>
  <si>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</si>
  <si>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</si>
  <si>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</si>
  <si>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</si>
  <si>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</si>
  <si>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</si>
  <si>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</si>
  <si>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</si>
  <si>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</si>
  <si>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</si>
  <si>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</si>
  <si>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</si>
  <si>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</si>
  <si>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</si>
  <si>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</si>
  <si>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</si>
  <si>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</si>
  <si>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</si>
  <si>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</si>
  <si>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</si>
  <si>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</si>
  <si>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</si>
  <si>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</si>
  <si>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</si>
  <si>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</si>
  <si>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</si>
  <si>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</si>
  <si>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</si>
  <si>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</si>
  <si>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</si>
  <si>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</si>
  <si>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Omlægning af regn- og spildevandsledninger på Toftehøjskolen</t>
  </si>
  <si>
    <t>Byudvikling af Egedal By Stationsområdet</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</si>
  <si>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</si>
  <si>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</si>
  <si>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</si>
  <si>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</si>
  <si>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</si>
  <si>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</si>
  <si>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</si>
  <si>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</si>
  <si>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</si>
  <si>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</si>
  <si>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</si>
  <si>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</si>
  <si>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Oprensning af bassin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</si>
</sst>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0" fillId="2" borderId="0" xfId="0" applyNumberFormat="1" applyFill="1" applyProtection="1"/>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4" t="s">
        <v>4</v>
      </c>
      <c r="E6" s="104"/>
      <c r="F6" s="104"/>
      <c r="G6" s="104"/>
      <c r="H6" s="3"/>
      <c r="I6" s="1"/>
    </row>
    <row r="7" spans="1:9" ht="15" customHeight="1" x14ac:dyDescent="0.25">
      <c r="A7" s="1"/>
      <c r="B7" s="1"/>
      <c r="C7" s="3"/>
      <c r="D7" s="104"/>
      <c r="E7" s="104"/>
      <c r="F7" s="104"/>
      <c r="G7" s="104"/>
      <c r="H7" s="3"/>
      <c r="I7" s="1"/>
    </row>
    <row r="8" spans="1:9" ht="15.75" x14ac:dyDescent="0.25">
      <c r="A8" s="1"/>
      <c r="B8" s="1"/>
      <c r="C8" s="4"/>
      <c r="D8" s="109" t="s">
        <v>252</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0" t="s">
        <v>196</v>
      </c>
      <c r="E13" s="111"/>
      <c r="F13" s="111"/>
      <c r="G13" s="112"/>
      <c r="H13" s="5"/>
      <c r="I13" s="1"/>
    </row>
    <row r="14" spans="1:9" x14ac:dyDescent="0.25">
      <c r="A14" s="1"/>
      <c r="B14" s="1"/>
      <c r="C14" s="6" t="s">
        <v>16</v>
      </c>
      <c r="D14" s="101" t="s">
        <v>197</v>
      </c>
      <c r="E14" s="102"/>
      <c r="F14" s="102"/>
      <c r="G14" s="103"/>
      <c r="H14" s="5"/>
      <c r="I14" s="1"/>
    </row>
    <row r="15" spans="1:9" x14ac:dyDescent="0.25">
      <c r="A15" s="1"/>
      <c r="B15" s="1"/>
      <c r="C15" s="6" t="s">
        <v>31</v>
      </c>
      <c r="D15" s="101" t="s">
        <v>262</v>
      </c>
      <c r="E15" s="102"/>
      <c r="F15" s="102"/>
      <c r="G15" s="103"/>
      <c r="H15" s="5"/>
      <c r="I15" s="1"/>
    </row>
    <row r="16" spans="1:9" x14ac:dyDescent="0.25">
      <c r="A16" s="1"/>
      <c r="B16" s="1"/>
      <c r="C16" s="6" t="s">
        <v>32</v>
      </c>
      <c r="D16" s="101" t="s">
        <v>263</v>
      </c>
      <c r="E16" s="102"/>
      <c r="F16" s="102"/>
      <c r="G16" s="103"/>
      <c r="H16" s="5"/>
      <c r="I16" s="1"/>
    </row>
    <row r="17" spans="1:9" x14ac:dyDescent="0.25">
      <c r="A17" s="1"/>
      <c r="B17" s="1"/>
      <c r="C17" s="6" t="s">
        <v>101</v>
      </c>
      <c r="D17" s="101" t="s">
        <v>198</v>
      </c>
      <c r="E17" s="102"/>
      <c r="F17" s="102"/>
      <c r="G17" s="103"/>
      <c r="H17" s="5"/>
      <c r="I17" s="1"/>
    </row>
    <row r="18" spans="1:9" x14ac:dyDescent="0.25">
      <c r="A18" s="1"/>
      <c r="B18" s="1"/>
      <c r="C18" s="6" t="s">
        <v>88</v>
      </c>
      <c r="D18" s="98" t="s">
        <v>79</v>
      </c>
      <c r="E18" s="99"/>
      <c r="F18" s="99"/>
      <c r="G18" s="100"/>
      <c r="H18" s="5"/>
      <c r="I18" s="1"/>
    </row>
    <row r="19" spans="1:9" x14ac:dyDescent="0.25">
      <c r="A19" s="1"/>
      <c r="B19" s="1"/>
      <c r="C19" s="6" t="s">
        <v>89</v>
      </c>
      <c r="D19" s="98" t="s">
        <v>80</v>
      </c>
      <c r="E19" s="99"/>
      <c r="F19" s="99"/>
      <c r="G19" s="100"/>
      <c r="H19" s="5"/>
      <c r="I19" s="1"/>
    </row>
    <row r="20" spans="1:9" x14ac:dyDescent="0.25">
      <c r="A20" s="1"/>
      <c r="B20" s="1"/>
      <c r="C20" s="6" t="s">
        <v>7</v>
      </c>
      <c r="D20" s="98" t="s">
        <v>10</v>
      </c>
      <c r="E20" s="99"/>
      <c r="F20" s="99"/>
      <c r="G20" s="100"/>
      <c r="H20" s="5"/>
      <c r="I20" s="1"/>
    </row>
    <row r="21" spans="1:9" x14ac:dyDescent="0.25">
      <c r="A21" s="1"/>
      <c r="B21" s="1"/>
      <c r="C21" s="6" t="s">
        <v>90</v>
      </c>
      <c r="D21" s="105" t="s">
        <v>12</v>
      </c>
      <c r="E21" s="106"/>
      <c r="F21" s="106"/>
      <c r="G21" s="107"/>
      <c r="H21" s="5"/>
      <c r="I21" s="1"/>
    </row>
    <row r="22" spans="1:9" x14ac:dyDescent="0.25">
      <c r="A22" s="1"/>
      <c r="B22" s="1"/>
      <c r="C22" s="6" t="s">
        <v>71</v>
      </c>
      <c r="D22" s="92" t="s">
        <v>199</v>
      </c>
      <c r="E22" s="93"/>
      <c r="F22" s="93"/>
      <c r="G22" s="94"/>
      <c r="H22" s="5"/>
      <c r="I22" s="1"/>
    </row>
    <row r="23" spans="1:9" x14ac:dyDescent="0.25">
      <c r="A23" s="1"/>
      <c r="B23" s="1"/>
      <c r="C23" s="6" t="s">
        <v>8</v>
      </c>
      <c r="D23" s="92" t="s">
        <v>181</v>
      </c>
      <c r="E23" s="93"/>
      <c r="F23" s="93"/>
      <c r="G23" s="94"/>
      <c r="H23" s="5"/>
      <c r="I23" s="1"/>
    </row>
    <row r="24" spans="1:9" x14ac:dyDescent="0.25">
      <c r="A24" s="1"/>
      <c r="B24" s="1"/>
      <c r="C24" s="6" t="s">
        <v>9</v>
      </c>
      <c r="D24" s="92" t="s">
        <v>200</v>
      </c>
      <c r="E24" s="93"/>
      <c r="F24" s="93"/>
      <c r="G24" s="94"/>
      <c r="H24" s="5"/>
      <c r="I24" s="1"/>
    </row>
    <row r="25" spans="1:9" x14ac:dyDescent="0.25">
      <c r="A25" s="1"/>
      <c r="B25" s="1"/>
      <c r="C25" s="6" t="s">
        <v>166</v>
      </c>
      <c r="D25" s="92" t="s">
        <v>160</v>
      </c>
      <c r="E25" s="93"/>
      <c r="F25" s="93"/>
      <c r="G25" s="94"/>
      <c r="H25" s="1"/>
      <c r="I25" s="1"/>
    </row>
    <row r="26" spans="1:9" x14ac:dyDescent="0.25">
      <c r="A26" s="1"/>
      <c r="B26" s="1"/>
      <c r="C26" s="6" t="s">
        <v>167</v>
      </c>
      <c r="D26" s="92" t="s">
        <v>72</v>
      </c>
      <c r="E26" s="93"/>
      <c r="F26" s="93"/>
      <c r="G26" s="94"/>
      <c r="H26" s="1"/>
      <c r="I26" s="1"/>
    </row>
    <row r="27" spans="1:9" x14ac:dyDescent="0.25">
      <c r="A27" s="1"/>
      <c r="B27" s="1"/>
      <c r="C27" s="6" t="s">
        <v>168</v>
      </c>
      <c r="D27" s="92" t="s">
        <v>73</v>
      </c>
      <c r="E27" s="93"/>
      <c r="F27" s="93"/>
      <c r="G27" s="94"/>
      <c r="H27" s="1"/>
      <c r="I27" s="1"/>
    </row>
    <row r="28" spans="1:9" x14ac:dyDescent="0.25">
      <c r="A28" s="1"/>
      <c r="B28" s="1"/>
      <c r="C28" s="6" t="s">
        <v>15</v>
      </c>
      <c r="D28" s="92" t="s">
        <v>74</v>
      </c>
      <c r="E28" s="93"/>
      <c r="F28" s="93"/>
      <c r="G28" s="94"/>
      <c r="H28" s="1"/>
      <c r="I28" s="1"/>
    </row>
    <row r="29" spans="1:9" x14ac:dyDescent="0.25">
      <c r="A29" s="1"/>
      <c r="B29" s="1"/>
      <c r="C29" s="6" t="s">
        <v>34</v>
      </c>
      <c r="D29" s="92" t="s">
        <v>114</v>
      </c>
      <c r="E29" s="93"/>
      <c r="F29" s="93"/>
      <c r="G29" s="94"/>
      <c r="H29" s="1"/>
      <c r="I29" s="1"/>
    </row>
    <row r="30" spans="1:9" x14ac:dyDescent="0.25">
      <c r="A30" s="1"/>
      <c r="B30" s="1"/>
      <c r="C30" s="6" t="s">
        <v>35</v>
      </c>
      <c r="D30" s="92" t="s">
        <v>33</v>
      </c>
      <c r="E30" s="93"/>
      <c r="F30" s="93"/>
      <c r="G30" s="94"/>
      <c r="H30" s="1"/>
      <c r="I30" s="1"/>
    </row>
    <row r="31" spans="1:9" x14ac:dyDescent="0.25">
      <c r="A31" s="1"/>
      <c r="B31" s="1"/>
      <c r="C31" s="6" t="s">
        <v>169</v>
      </c>
      <c r="D31" s="95" t="s">
        <v>87</v>
      </c>
      <c r="E31" s="96"/>
      <c r="F31" s="96"/>
      <c r="G31" s="9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gbHT6LBKomEC8OXtvJqvt8pMUYI4xuFYefuNcC9QMqzpD/Pflyb00zlMtpbdRAmQeQVWZXwlmUo3i3sAKDZ6tg==" saltValue="nq2ws2bRNMsnpHbSTzVsz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3" t="s">
        <v>93</v>
      </c>
      <c r="C3" s="113"/>
      <c r="D3" s="113"/>
      <c r="E3" s="1"/>
      <c r="F3" s="1"/>
    </row>
    <row r="4" spans="1:6" ht="15" customHeight="1" x14ac:dyDescent="0.25">
      <c r="A4" s="1"/>
      <c r="B4" s="113"/>
      <c r="C4" s="113"/>
      <c r="D4" s="11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4" t="s">
        <v>272</v>
      </c>
      <c r="C10" s="9">
        <v>305228</v>
      </c>
      <c r="D10" s="14" t="s">
        <v>3</v>
      </c>
      <c r="E10" s="1"/>
      <c r="F10" s="1"/>
    </row>
    <row r="11" spans="1:6" ht="15" customHeight="1" x14ac:dyDescent="0.25">
      <c r="A11" s="1"/>
      <c r="B11" s="84" t="s">
        <v>273</v>
      </c>
      <c r="C11" s="9">
        <v>89149</v>
      </c>
      <c r="D11" s="14" t="s">
        <v>3</v>
      </c>
      <c r="E11" s="1"/>
      <c r="F11" s="1"/>
    </row>
    <row r="12" spans="1:6" ht="26.25" x14ac:dyDescent="0.25">
      <c r="A12" s="1"/>
      <c r="B12" s="29" t="s">
        <v>274</v>
      </c>
      <c r="C12" s="9">
        <v>3775801</v>
      </c>
      <c r="D12" s="14" t="s">
        <v>3</v>
      </c>
      <c r="E12" s="1"/>
      <c r="F12" s="1"/>
    </row>
    <row r="13" spans="1:6" x14ac:dyDescent="0.25">
      <c r="A13" s="1"/>
      <c r="B13" s="84" t="s">
        <v>275</v>
      </c>
      <c r="C13" s="9">
        <v>19011</v>
      </c>
      <c r="D13" s="14" t="s">
        <v>3</v>
      </c>
      <c r="E13" s="1"/>
      <c r="F13" s="1"/>
    </row>
    <row r="14" spans="1:6" x14ac:dyDescent="0.25">
      <c r="A14" s="1"/>
      <c r="B14" s="84"/>
      <c r="C14" s="9"/>
      <c r="D14" s="14" t="s">
        <v>3</v>
      </c>
      <c r="E14" s="1"/>
      <c r="F14" s="1"/>
    </row>
    <row r="15" spans="1:6" x14ac:dyDescent="0.25">
      <c r="A15" s="1"/>
      <c r="B15" s="84"/>
      <c r="C15" s="9"/>
      <c r="D15" s="14" t="s">
        <v>3</v>
      </c>
      <c r="E15" s="1"/>
      <c r="F15" s="1"/>
    </row>
    <row r="16" spans="1:6" x14ac:dyDescent="0.25">
      <c r="A16" s="1"/>
      <c r="B16" s="84"/>
      <c r="C16" s="9"/>
      <c r="D16" s="14" t="s">
        <v>3</v>
      </c>
      <c r="E16" s="1"/>
      <c r="F16" s="1"/>
    </row>
    <row r="17" spans="1:6" x14ac:dyDescent="0.25">
      <c r="A17" s="1"/>
      <c r="B17" s="84"/>
      <c r="C17" s="9"/>
      <c r="D17" s="14" t="s">
        <v>3</v>
      </c>
      <c r="E17" s="1"/>
      <c r="F17" s="1"/>
    </row>
    <row r="18" spans="1:6" x14ac:dyDescent="0.25">
      <c r="A18" s="1"/>
      <c r="B18" s="84"/>
      <c r="C18" s="9"/>
      <c r="D18" s="14" t="s">
        <v>3</v>
      </c>
      <c r="E18" s="1"/>
      <c r="F18" s="1"/>
    </row>
    <row r="19" spans="1:6" x14ac:dyDescent="0.25">
      <c r="A19" s="1"/>
      <c r="B19" s="84"/>
      <c r="C19" s="9"/>
      <c r="D19" s="14" t="s">
        <v>3</v>
      </c>
      <c r="E19" s="1"/>
      <c r="F19" s="1"/>
    </row>
    <row r="20" spans="1:6" x14ac:dyDescent="0.25">
      <c r="A20" s="1"/>
      <c r="B20" s="33" t="s">
        <v>226</v>
      </c>
      <c r="C20" s="12">
        <f>SUM(C10:C19)</f>
        <v>4189189</v>
      </c>
      <c r="D20" s="13" t="s">
        <v>3</v>
      </c>
      <c r="E20" s="1"/>
      <c r="F20" s="1"/>
    </row>
    <row r="21" spans="1:6" x14ac:dyDescent="0.25">
      <c r="A21" s="1"/>
      <c r="B21" s="33" t="s">
        <v>227</v>
      </c>
      <c r="C21" s="12">
        <f>C20*(1+'Fane 15. Nøgletal'!C16)^2</f>
        <v>4893511.6492729597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4" t="s">
        <v>109</v>
      </c>
      <c r="C25" s="9">
        <v>0</v>
      </c>
      <c r="D25" s="14" t="s">
        <v>3</v>
      </c>
      <c r="E25" s="1"/>
      <c r="F25" s="1"/>
    </row>
    <row r="26" spans="1:6" x14ac:dyDescent="0.25">
      <c r="A26" s="1"/>
      <c r="B26" s="84" t="s">
        <v>123</v>
      </c>
      <c r="C26" s="9">
        <v>0</v>
      </c>
      <c r="D26" s="14" t="s">
        <v>3</v>
      </c>
      <c r="E26" s="1"/>
      <c r="F26" s="1"/>
    </row>
    <row r="27" spans="1:6" x14ac:dyDescent="0.25">
      <c r="A27" s="1"/>
      <c r="B27" s="84"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4" t="s">
        <v>109</v>
      </c>
      <c r="C33" s="9">
        <v>0</v>
      </c>
      <c r="D33" s="14" t="s">
        <v>3</v>
      </c>
      <c r="E33" s="1"/>
      <c r="F33" s="1"/>
    </row>
    <row r="34" spans="1:6" x14ac:dyDescent="0.25">
      <c r="A34" s="1"/>
      <c r="B34" s="84" t="s">
        <v>123</v>
      </c>
      <c r="C34" s="9">
        <v>0</v>
      </c>
      <c r="D34" s="14" t="s">
        <v>3</v>
      </c>
      <c r="E34" s="1"/>
      <c r="F34" s="1"/>
    </row>
    <row r="35" spans="1:6" x14ac:dyDescent="0.25">
      <c r="A35" s="1"/>
      <c r="B35" s="84"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kyYhNxLV/6fSHuuxC5c+2QEDm1TBumFMGZ0ybj1jzgMB8S4Lrb+6B2QPWBTl2WDAaYGG2z+GM9qTxOrT+EiAg==" saltValue="CZUb+lbwT66GY0OT6S+le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AC7B-F419-43D5-A7E3-24B7C22DAC11}">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206</v>
      </c>
      <c r="C3" s="115"/>
      <c r="D3" s="115"/>
      <c r="E3" s="115"/>
      <c r="F3" s="115"/>
      <c r="G3" s="1"/>
    </row>
    <row r="4" spans="1:7" ht="15" customHeight="1" x14ac:dyDescent="0.25">
      <c r="A4" s="1"/>
      <c r="B4" s="115"/>
      <c r="C4" s="115"/>
      <c r="D4" s="115"/>
      <c r="E4" s="115"/>
      <c r="F4" s="115"/>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278</v>
      </c>
      <c r="C9" s="121"/>
      <c r="D9" s="122"/>
      <c r="E9" s="9">
        <v>11454533</v>
      </c>
      <c r="F9" s="14" t="s">
        <v>3</v>
      </c>
      <c r="G9" s="1"/>
    </row>
    <row r="10" spans="1:7" ht="15" customHeight="1" x14ac:dyDescent="0.25">
      <c r="A10" s="1"/>
      <c r="B10" s="120" t="s">
        <v>143</v>
      </c>
      <c r="C10" s="121"/>
      <c r="D10" s="122"/>
      <c r="E10" s="9">
        <v>10805162</v>
      </c>
      <c r="F10" s="14" t="s">
        <v>3</v>
      </c>
      <c r="G10" s="1"/>
    </row>
    <row r="11" spans="1:7" ht="15" customHeight="1" x14ac:dyDescent="0.25">
      <c r="A11" s="1"/>
      <c r="B11" s="120" t="s">
        <v>279</v>
      </c>
      <c r="C11" s="121"/>
      <c r="D11" s="122"/>
      <c r="E11" s="9">
        <v>6029733</v>
      </c>
      <c r="F11" s="14" t="s">
        <v>3</v>
      </c>
      <c r="G11" s="1"/>
    </row>
    <row r="12" spans="1:7" x14ac:dyDescent="0.25">
      <c r="A12" s="1"/>
      <c r="B12" s="33"/>
      <c r="C12" s="28"/>
      <c r="D12" s="28"/>
      <c r="E12" s="28"/>
      <c r="F12" s="19"/>
      <c r="G12" s="1"/>
    </row>
    <row r="13" spans="1:7" ht="42" customHeight="1" x14ac:dyDescent="0.25">
      <c r="A13" s="1"/>
      <c r="B13" s="129" t="s">
        <v>280</v>
      </c>
      <c r="C13" s="130"/>
      <c r="D13" s="130"/>
      <c r="E13" s="130"/>
      <c r="F13" s="131"/>
      <c r="G13" s="1"/>
    </row>
    <row r="14" spans="1:7" ht="15" customHeight="1" x14ac:dyDescent="0.25">
      <c r="A14" s="1"/>
      <c r="B14" s="1"/>
      <c r="C14" s="1"/>
      <c r="D14" s="1"/>
      <c r="E14" s="1"/>
      <c r="F14" s="1"/>
      <c r="G14" s="1"/>
    </row>
    <row r="15" spans="1:7" x14ac:dyDescent="0.25">
      <c r="A15" s="1"/>
      <c r="B15" s="78" t="s">
        <v>281</v>
      </c>
      <c r="C15" s="79"/>
      <c r="D15" s="79"/>
      <c r="E15" s="79"/>
      <c r="F15" s="80"/>
      <c r="G15" s="1"/>
    </row>
    <row r="16" spans="1:7" x14ac:dyDescent="0.25">
      <c r="A16" s="1"/>
      <c r="B16" s="81" t="s">
        <v>282</v>
      </c>
      <c r="C16" s="82"/>
      <c r="D16" s="83"/>
      <c r="E16" s="9">
        <f>IF(E11&lt;0,E11,0)</f>
        <v>0</v>
      </c>
      <c r="F16" s="14" t="s">
        <v>3</v>
      </c>
      <c r="G16" s="1"/>
    </row>
    <row r="17" spans="1:7" x14ac:dyDescent="0.25">
      <c r="A17" s="1"/>
      <c r="B17" s="81" t="s">
        <v>283</v>
      </c>
      <c r="C17" s="82"/>
      <c r="D17" s="83"/>
      <c r="E17" s="9">
        <f>IF(SUM(E10)&gt;0,SUM(E10),0)</f>
        <v>10805162</v>
      </c>
      <c r="F17" s="14" t="s">
        <v>3</v>
      </c>
      <c r="G17" s="1"/>
    </row>
    <row r="18" spans="1:7" x14ac:dyDescent="0.25">
      <c r="A18" s="1"/>
      <c r="B18" s="85" t="s">
        <v>284</v>
      </c>
      <c r="C18" s="86"/>
      <c r="D18" s="87"/>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8" t="s">
        <v>285</v>
      </c>
      <c r="C21" s="79"/>
      <c r="D21" s="79"/>
      <c r="E21" s="79"/>
      <c r="F21" s="80"/>
      <c r="G21" s="1"/>
    </row>
    <row r="22" spans="1:7" x14ac:dyDescent="0.25">
      <c r="A22" s="1"/>
      <c r="B22" s="81" t="s">
        <v>286</v>
      </c>
      <c r="C22" s="82"/>
      <c r="D22" s="83"/>
      <c r="E22" s="9">
        <v>68065435</v>
      </c>
      <c r="F22" s="14" t="s">
        <v>3</v>
      </c>
      <c r="G22" s="1"/>
    </row>
    <row r="23" spans="1:7" x14ac:dyDescent="0.25">
      <c r="A23" s="1"/>
      <c r="B23" s="81" t="s">
        <v>287</v>
      </c>
      <c r="C23" s="82"/>
      <c r="D23" s="83"/>
      <c r="E23" s="9">
        <v>55820134</v>
      </c>
      <c r="F23" s="14" t="s">
        <v>3</v>
      </c>
      <c r="G23" s="1"/>
    </row>
    <row r="24" spans="1:7" x14ac:dyDescent="0.25">
      <c r="A24" s="1"/>
      <c r="B24" s="81" t="s">
        <v>30</v>
      </c>
      <c r="C24" s="82"/>
      <c r="D24" s="83"/>
      <c r="E24" s="9">
        <v>0</v>
      </c>
      <c r="F24" s="14" t="s">
        <v>3</v>
      </c>
      <c r="G24" s="1"/>
    </row>
    <row r="25" spans="1:7" x14ac:dyDescent="0.25">
      <c r="A25" s="1"/>
      <c r="B25" s="85" t="s">
        <v>288</v>
      </c>
      <c r="C25" s="86"/>
      <c r="D25" s="87"/>
      <c r="E25" s="62">
        <f>E22-E23-E24</f>
        <v>12245301</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289</v>
      </c>
      <c r="C28" s="118"/>
      <c r="D28" s="118"/>
      <c r="E28" s="118"/>
      <c r="F28" s="119"/>
      <c r="G28" s="1"/>
    </row>
    <row r="29" spans="1:7" x14ac:dyDescent="0.25">
      <c r="A29" s="1"/>
      <c r="B29" s="135" t="s">
        <v>116</v>
      </c>
      <c r="C29" s="136"/>
      <c r="D29" s="137"/>
      <c r="E29" s="9">
        <f>IF(E18&lt;0,IF(E25&lt;0,SUM(E18,E25),IF(E10&gt;0,SUM(E10:E11),E18)),IF(AND(E25&lt;0,SUM(E25,E11)&lt;0),IF(E11&lt;0,E25,IF(SUM(E10:E11)&gt;0,SUM(E25,E11),IF(AND(E25&lt;0,E18=0,E11&gt;0),IF(SUM(E9:E11)&gt;0,E25+E11,E25)))),0))</f>
        <v>0</v>
      </c>
      <c r="F29" s="14" t="s">
        <v>3</v>
      </c>
      <c r="G29" s="1"/>
    </row>
    <row r="30" spans="1:7" x14ac:dyDescent="0.25">
      <c r="A30" s="1"/>
      <c r="B30" s="135" t="s">
        <v>84</v>
      </c>
      <c r="C30" s="136"/>
      <c r="D30" s="137"/>
      <c r="E30" s="9">
        <v>2</v>
      </c>
      <c r="F30" s="14" t="s">
        <v>20</v>
      </c>
      <c r="G30" s="1"/>
    </row>
    <row r="31" spans="1:7" x14ac:dyDescent="0.25">
      <c r="A31" s="1"/>
      <c r="B31" s="138" t="s">
        <v>117</v>
      </c>
      <c r="C31" s="139"/>
      <c r="D31" s="140"/>
      <c r="E31" s="10">
        <f>E29/E30</f>
        <v>0</v>
      </c>
      <c r="F31" s="17" t="s">
        <v>3</v>
      </c>
      <c r="G31" s="1"/>
    </row>
    <row r="32" spans="1:7" x14ac:dyDescent="0.25">
      <c r="A32" s="1"/>
      <c r="B32" s="141"/>
      <c r="C32" s="142"/>
      <c r="D32" s="142"/>
      <c r="E32" s="142"/>
      <c r="F32" s="14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uY4Pc1uNW8ZInbTVVp/Q+igvTj4Zb05Gqs9xo7Lj9v6ewR6A0fJUokz1KK+vFCNsQSSy56kfHcxk2er8tIpCjA==" saltValue="e97glkAmQ+8ZOLurPdqrV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55" zoomScaleNormal="100" zoomScalePageLayoutView="55"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3" t="s">
        <v>170</v>
      </c>
      <c r="C3" s="113"/>
      <c r="D3" s="113"/>
      <c r="E3" s="113"/>
      <c r="F3" s="113"/>
      <c r="G3" s="113"/>
      <c r="H3" s="113"/>
      <c r="I3" s="1"/>
    </row>
    <row r="4" spans="1:9" ht="15" customHeight="1" x14ac:dyDescent="0.25">
      <c r="A4" s="1"/>
      <c r="B4" s="113"/>
      <c r="C4" s="113"/>
      <c r="D4" s="113"/>
      <c r="E4" s="113"/>
      <c r="F4" s="113"/>
      <c r="G4" s="113"/>
      <c r="H4" s="11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7" t="s">
        <v>171</v>
      </c>
      <c r="C9" s="148"/>
      <c r="D9" s="148"/>
      <c r="E9" s="148"/>
      <c r="F9" s="148"/>
      <c r="G9" s="148"/>
      <c r="H9" s="149"/>
      <c r="I9" s="1"/>
    </row>
    <row r="10" spans="1:9" x14ac:dyDescent="0.25">
      <c r="A10" s="1"/>
      <c r="B10" s="144" t="s">
        <v>172</v>
      </c>
      <c r="C10" s="145"/>
      <c r="D10" s="145"/>
      <c r="E10" s="145"/>
      <c r="F10" s="146"/>
      <c r="G10" s="9">
        <v>0</v>
      </c>
      <c r="H10" s="9" t="s">
        <v>3</v>
      </c>
      <c r="I10" s="1"/>
    </row>
    <row r="11" spans="1:9" x14ac:dyDescent="0.25">
      <c r="A11" s="1"/>
      <c r="B11" s="144" t="s">
        <v>173</v>
      </c>
      <c r="C11" s="145"/>
      <c r="D11" s="145"/>
      <c r="E11" s="145"/>
      <c r="F11" s="146"/>
      <c r="G11" s="9">
        <v>0</v>
      </c>
      <c r="H11" s="9" t="s">
        <v>3</v>
      </c>
      <c r="I11" s="1"/>
    </row>
    <row r="12" spans="1:9" x14ac:dyDescent="0.25">
      <c r="A12" s="1"/>
      <c r="B12" s="144" t="s">
        <v>174</v>
      </c>
      <c r="C12" s="145"/>
      <c r="D12" s="145"/>
      <c r="E12" s="145"/>
      <c r="F12" s="146"/>
      <c r="G12" s="9">
        <v>0</v>
      </c>
      <c r="H12" s="9" t="s">
        <v>3</v>
      </c>
      <c r="I12" s="1"/>
    </row>
    <row r="13" spans="1:9" x14ac:dyDescent="0.25">
      <c r="A13" s="1"/>
      <c r="B13" s="144" t="s">
        <v>175</v>
      </c>
      <c r="C13" s="145"/>
      <c r="D13" s="145"/>
      <c r="E13" s="145"/>
      <c r="F13" s="146"/>
      <c r="G13" s="9">
        <v>0</v>
      </c>
      <c r="H13" s="9" t="s">
        <v>3</v>
      </c>
      <c r="I13" s="1"/>
    </row>
    <row r="14" spans="1:9" x14ac:dyDescent="0.25">
      <c r="A14" s="1"/>
      <c r="B14" s="144" t="s">
        <v>176</v>
      </c>
      <c r="C14" s="145"/>
      <c r="D14" s="145"/>
      <c r="E14" s="145"/>
      <c r="F14" s="146"/>
      <c r="G14" s="9">
        <v>0</v>
      </c>
      <c r="H14" s="9" t="s">
        <v>3</v>
      </c>
      <c r="I14" s="1"/>
    </row>
    <row r="15" spans="1:9" x14ac:dyDescent="0.25">
      <c r="A15" s="1"/>
      <c r="B15" s="144" t="s">
        <v>177</v>
      </c>
      <c r="C15" s="145"/>
      <c r="D15" s="145"/>
      <c r="E15" s="145"/>
      <c r="F15" s="146"/>
      <c r="G15" s="9">
        <v>0</v>
      </c>
      <c r="H15" s="9" t="s">
        <v>3</v>
      </c>
      <c r="I15" s="1"/>
    </row>
    <row r="16" spans="1:9" x14ac:dyDescent="0.25">
      <c r="A16" s="1"/>
      <c r="B16" s="144" t="s">
        <v>178</v>
      </c>
      <c r="C16" s="145"/>
      <c r="D16" s="145"/>
      <c r="E16" s="145"/>
      <c r="F16" s="146"/>
      <c r="G16" s="9">
        <v>0</v>
      </c>
      <c r="H16" s="9" t="s">
        <v>3</v>
      </c>
      <c r="I16" s="1"/>
    </row>
    <row r="17" spans="1:9" x14ac:dyDescent="0.25">
      <c r="A17" s="1"/>
      <c r="B17" s="144" t="s">
        <v>179</v>
      </c>
      <c r="C17" s="145"/>
      <c r="D17" s="145"/>
      <c r="E17" s="145"/>
      <c r="F17" s="146"/>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0AvRW/bcnSPL6xo3g4Idr0eUGECsnklZMuRaVgcFLXZJnSNN0Bg+kGRfPlH6luXXbyJPyhUY8XaPQ5Mha9ylw==" saltValue="PCSeyZNYs9PB9klshdTTw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29" t="s">
        <v>82</v>
      </c>
      <c r="C10" s="130"/>
      <c r="D10" s="131"/>
      <c r="E10" s="7">
        <v>0</v>
      </c>
      <c r="F10" s="8" t="s">
        <v>3</v>
      </c>
      <c r="G10" s="1"/>
    </row>
    <row r="11" spans="1:7" x14ac:dyDescent="0.25">
      <c r="A11" s="1"/>
      <c r="B11" s="120" t="s">
        <v>229</v>
      </c>
      <c r="C11" s="121"/>
      <c r="D11" s="122"/>
      <c r="E11" s="7">
        <v>0</v>
      </c>
      <c r="F11" s="8" t="s">
        <v>3</v>
      </c>
      <c r="G11" s="1"/>
    </row>
    <row r="12" spans="1:7" x14ac:dyDescent="0.25">
      <c r="A12" s="1"/>
      <c r="B12" s="138" t="s">
        <v>83</v>
      </c>
      <c r="C12" s="139"/>
      <c r="D12" s="140"/>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29" t="s">
        <v>231</v>
      </c>
      <c r="C15" s="130"/>
      <c r="D15" s="131"/>
      <c r="E15" s="7">
        <v>0</v>
      </c>
      <c r="F15" s="8" t="s">
        <v>3</v>
      </c>
      <c r="G15" s="1"/>
    </row>
    <row r="16" spans="1:7" x14ac:dyDescent="0.25">
      <c r="A16" s="1"/>
      <c r="B16" s="138" t="s">
        <v>83</v>
      </c>
      <c r="C16" s="139"/>
      <c r="D16" s="140"/>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Wb1iN9vxkysCm0tXD6tTTp1Sr+WTNqQFdfMkvHJTR8jOz+gTmtIlzD3WePK9xOaICmILGHpg5LzyzgsMVzKlg==" saltValue="w06O/Lfp9YBFa4T37J1gg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3" t="s">
        <v>182</v>
      </c>
      <c r="C3" s="113"/>
      <c r="D3" s="113"/>
      <c r="E3" s="113"/>
      <c r="F3" s="113"/>
      <c r="G3" s="113"/>
      <c r="H3" s="113"/>
      <c r="I3" s="113"/>
      <c r="J3" s="113"/>
      <c r="K3" s="113"/>
      <c r="L3" s="1"/>
    </row>
    <row r="4" spans="1:12" ht="15" customHeight="1" x14ac:dyDescent="0.25">
      <c r="A4" s="1"/>
      <c r="B4" s="113"/>
      <c r="C4" s="113"/>
      <c r="D4" s="113"/>
      <c r="E4" s="113"/>
      <c r="F4" s="113"/>
      <c r="G4" s="113"/>
      <c r="H4" s="113"/>
      <c r="I4" s="113"/>
      <c r="J4" s="113"/>
      <c r="K4" s="11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50" t="s">
        <v>165</v>
      </c>
      <c r="E9" s="151"/>
      <c r="F9" s="150" t="s">
        <v>2</v>
      </c>
      <c r="G9" s="151"/>
      <c r="H9" s="150" t="s">
        <v>164</v>
      </c>
      <c r="I9" s="151"/>
      <c r="J9" s="150" t="s">
        <v>27</v>
      </c>
      <c r="K9" s="151"/>
      <c r="L9" s="1"/>
    </row>
    <row r="10" spans="1:12" x14ac:dyDescent="0.25">
      <c r="A10" s="1"/>
      <c r="B10" s="88" t="s">
        <v>265</v>
      </c>
      <c r="C10" s="45">
        <v>0</v>
      </c>
      <c r="D10" s="9">
        <v>0</v>
      </c>
      <c r="E10" s="14" t="s">
        <v>3</v>
      </c>
      <c r="F10" s="9">
        <f>IFERROR(D10/C10,0)</f>
        <v>0</v>
      </c>
      <c r="G10" s="14" t="s">
        <v>3</v>
      </c>
      <c r="H10" s="41">
        <v>0</v>
      </c>
      <c r="I10" s="14" t="s">
        <v>3</v>
      </c>
      <c r="J10" s="41">
        <v>0</v>
      </c>
      <c r="K10" s="14" t="s">
        <v>3</v>
      </c>
      <c r="L10" s="1"/>
    </row>
    <row r="11" spans="1:12" x14ac:dyDescent="0.25">
      <c r="A11" s="1"/>
      <c r="B11" s="78" t="s">
        <v>150</v>
      </c>
      <c r="C11" s="79"/>
      <c r="D11" s="80"/>
      <c r="E11" s="80"/>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7BIzRHM+2HR2mR01QAVJBr04AggxYUxPlWhBy2/voN4a1tLeMkk2fqDCISAFQUKNRpD8qX3D4ojecVpf0uhxZA==" saltValue="kduT+J8S+J1DSEXLn+eZM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183</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9" t="s">
        <v>17</v>
      </c>
      <c r="C9" s="89" t="s">
        <v>11</v>
      </c>
      <c r="D9" s="90"/>
      <c r="E9" s="89"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276</v>
      </c>
      <c r="C11" s="21">
        <v>0</v>
      </c>
      <c r="D11" s="14" t="s">
        <v>3</v>
      </c>
      <c r="E11" s="9">
        <v>45948</v>
      </c>
      <c r="F11" s="14" t="s">
        <v>3</v>
      </c>
      <c r="G11" s="1"/>
    </row>
    <row r="12" spans="1:7" x14ac:dyDescent="0.25">
      <c r="A12" s="1"/>
      <c r="B12" s="24" t="s">
        <v>277</v>
      </c>
      <c r="C12" s="21">
        <v>418613</v>
      </c>
      <c r="D12" s="14" t="s">
        <v>3</v>
      </c>
      <c r="E12" s="9">
        <v>312695</v>
      </c>
      <c r="F12" s="14" t="s">
        <v>3</v>
      </c>
      <c r="G12" s="1"/>
    </row>
    <row r="13" spans="1:7" x14ac:dyDescent="0.25">
      <c r="A13" s="1"/>
      <c r="B13" s="24" t="s">
        <v>290</v>
      </c>
      <c r="C13" s="21">
        <v>55400</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474013</v>
      </c>
      <c r="D19" s="13" t="s">
        <v>3</v>
      </c>
      <c r="E19" s="12">
        <f>SUM(E10:E18)</f>
        <v>358643</v>
      </c>
      <c r="F19" s="13" t="s">
        <v>3</v>
      </c>
      <c r="G19" s="1"/>
    </row>
    <row r="20" spans="1:7" x14ac:dyDescent="0.25">
      <c r="A20" s="1"/>
      <c r="B20" s="33" t="s">
        <v>233</v>
      </c>
      <c r="C20" s="12">
        <f>C19*(1+'Fane 15. Nøgletal'!C16)</f>
        <v>512313.25040000002</v>
      </c>
      <c r="D20" s="13" t="s">
        <v>3</v>
      </c>
      <c r="E20" s="12">
        <f>E19*(1+'Fane 15. Nøgletal'!C16)</f>
        <v>387621.35440000001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DM+TCMhpkE1UEyvK6N65Oo028IxUa90jBzoX/5F5PzM0NYoB5h3Cif71NNRwhFzatosH3A8S9U52eIgMCE8hw==" saltValue="SFbE0n/gR/VkTFkuEZ42o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184</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9" t="s">
        <v>17</v>
      </c>
      <c r="C9" s="89" t="s">
        <v>11</v>
      </c>
      <c r="D9" s="90"/>
      <c r="E9" s="89" t="s">
        <v>28</v>
      </c>
      <c r="F9" s="32"/>
      <c r="G9" s="1"/>
    </row>
    <row r="10" spans="1:7" x14ac:dyDescent="0.25">
      <c r="A10" s="1"/>
      <c r="B10" s="24" t="s">
        <v>290</v>
      </c>
      <c r="C10" s="21">
        <v>1384995</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1384995</v>
      </c>
      <c r="D13" s="13" t="s">
        <v>3</v>
      </c>
      <c r="E13" s="12">
        <f>SUM(E10:E12)</f>
        <v>0</v>
      </c>
      <c r="F13" s="13" t="s">
        <v>3</v>
      </c>
      <c r="G13" s="1"/>
    </row>
    <row r="14" spans="1:7" x14ac:dyDescent="0.25">
      <c r="A14" s="1"/>
      <c r="B14" s="33" t="s">
        <v>235</v>
      </c>
      <c r="C14" s="12">
        <f>C13*(1+'Fane 15. Nøgletal'!C16)^2</f>
        <v>1617852.3257567999</v>
      </c>
      <c r="D14" s="13" t="s">
        <v>3</v>
      </c>
      <c r="E14" s="12">
        <f>E13*(1+'Fane 15. Nøgletal'!C16)^2</f>
        <v>0</v>
      </c>
      <c r="F14" s="13" t="s">
        <v>3</v>
      </c>
      <c r="G14" s="1"/>
    </row>
    <row r="15" spans="1:7" x14ac:dyDescent="0.25">
      <c r="A15" s="1"/>
      <c r="B15" s="1"/>
      <c r="C15" s="1"/>
      <c r="D15" s="1"/>
      <c r="E15" s="1"/>
      <c r="F15" s="1"/>
      <c r="G15" s="1"/>
    </row>
    <row r="16" spans="1:7" x14ac:dyDescent="0.25">
      <c r="A16" s="1"/>
      <c r="B16" s="152"/>
      <c r="C16" s="152"/>
      <c r="D16" s="152"/>
      <c r="E16" s="152"/>
      <c r="F16" s="152"/>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2"/>
      <c r="C23" s="152"/>
      <c r="D23" s="152"/>
      <c r="E23" s="152"/>
      <c r="F23" s="152"/>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2"/>
      <c r="C30" s="152"/>
      <c r="D30" s="152"/>
      <c r="E30" s="152"/>
      <c r="F30" s="152"/>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YEUVFiycSJjUnsPyh/7n7rec0+peGZ9iHV1lP/uO6VQi73hLLS34n9WBNbSGK+rWIF70shIsKYG7rLmWcB8YA==" saltValue="wks+Fm8mQJvUZxQzAPhWe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185</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4" t="s">
        <v>236</v>
      </c>
      <c r="C10" s="145"/>
      <c r="D10" s="146"/>
      <c r="E10" s="9">
        <v>689715.14345885324</v>
      </c>
      <c r="F10" s="14" t="s">
        <v>3</v>
      </c>
      <c r="G10" s="1"/>
    </row>
    <row r="11" spans="1:7" x14ac:dyDescent="0.25">
      <c r="A11" s="1"/>
      <c r="B11" s="153" t="s">
        <v>10</v>
      </c>
      <c r="C11" s="154"/>
      <c r="D11" s="155"/>
      <c r="E11" s="9">
        <f>-E10*'Fane 5. Individuelt eff. krav'!G9</f>
        <v>-1730.9591632335689</v>
      </c>
      <c r="F11" s="14" t="s">
        <v>3</v>
      </c>
      <c r="G11" s="1"/>
    </row>
    <row r="12" spans="1:7" x14ac:dyDescent="0.25">
      <c r="A12" s="1"/>
      <c r="B12" s="153" t="s">
        <v>23</v>
      </c>
      <c r="C12" s="154"/>
      <c r="D12" s="155"/>
      <c r="E12" s="9">
        <f>-E10*'Fane 15. Nøgletal'!C33</f>
        <v>-13794.302869177065</v>
      </c>
      <c r="F12" s="14" t="s">
        <v>3</v>
      </c>
      <c r="G12" s="1"/>
    </row>
    <row r="13" spans="1:7" x14ac:dyDescent="0.25">
      <c r="A13" s="1"/>
      <c r="B13" s="117" t="s">
        <v>111</v>
      </c>
      <c r="C13" s="118"/>
      <c r="D13" s="119"/>
      <c r="E13" s="12">
        <f>SUM(E10:E12)*(1+'Fane 15. Nøgletal'!C16)^2</f>
        <v>787540.50929243164</v>
      </c>
      <c r="F13" s="13" t="s">
        <v>3</v>
      </c>
      <c r="G13" s="1"/>
    </row>
    <row r="14" spans="1:7" x14ac:dyDescent="0.25">
      <c r="A14" s="1"/>
      <c r="B14" s="1"/>
      <c r="C14" s="1"/>
      <c r="D14" s="1"/>
      <c r="E14" s="74"/>
      <c r="F14" s="1"/>
      <c r="G14" s="1"/>
    </row>
    <row r="15" spans="1:7" ht="15" customHeight="1" x14ac:dyDescent="0.25">
      <c r="A15" s="1"/>
      <c r="B15" s="117" t="s">
        <v>124</v>
      </c>
      <c r="C15" s="118"/>
      <c r="D15" s="118"/>
      <c r="E15" s="118"/>
      <c r="F15" s="119"/>
      <c r="G15" s="1"/>
    </row>
    <row r="16" spans="1:7" x14ac:dyDescent="0.25">
      <c r="A16" s="1"/>
      <c r="B16" s="144" t="s">
        <v>236</v>
      </c>
      <c r="C16" s="145"/>
      <c r="D16" s="146"/>
      <c r="E16" s="9">
        <v>689715.14345885324</v>
      </c>
      <c r="F16" s="14" t="s">
        <v>3</v>
      </c>
      <c r="G16" s="1"/>
    </row>
    <row r="17" spans="1:7" x14ac:dyDescent="0.25">
      <c r="A17" s="1"/>
      <c r="B17" s="153" t="s">
        <v>10</v>
      </c>
      <c r="C17" s="154"/>
      <c r="D17" s="155"/>
      <c r="E17" s="9">
        <f>-E16*'Fane 5. Individuelt eff. krav'!G9</f>
        <v>-1730.9591632335689</v>
      </c>
      <c r="F17" s="14" t="s">
        <v>3</v>
      </c>
      <c r="G17" s="1"/>
    </row>
    <row r="18" spans="1:7" x14ac:dyDescent="0.25">
      <c r="A18" s="1"/>
      <c r="B18" s="153" t="s">
        <v>23</v>
      </c>
      <c r="C18" s="154"/>
      <c r="D18" s="155"/>
      <c r="E18" s="9">
        <f>-E16*'Fane 15. Nøgletal'!C33</f>
        <v>-13794.302869177065</v>
      </c>
      <c r="F18" s="14" t="s">
        <v>3</v>
      </c>
      <c r="G18" s="1"/>
    </row>
    <row r="19" spans="1:7" x14ac:dyDescent="0.25">
      <c r="A19" s="1"/>
      <c r="B19" s="117" t="s">
        <v>125</v>
      </c>
      <c r="C19" s="118"/>
      <c r="D19" s="119"/>
      <c r="E19" s="12">
        <f>SUM(E16:E18)*(1+'Fane 15. Nøgletal'!C16)^3</f>
        <v>851173.78244326008</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4" t="s">
        <v>236</v>
      </c>
      <c r="C22" s="145"/>
      <c r="D22" s="146"/>
      <c r="E22" s="9">
        <v>689715.14345885324</v>
      </c>
      <c r="F22" s="14" t="s">
        <v>3</v>
      </c>
      <c r="G22" s="1"/>
    </row>
    <row r="23" spans="1:7" x14ac:dyDescent="0.25">
      <c r="A23" s="1"/>
      <c r="B23" s="153" t="s">
        <v>10</v>
      </c>
      <c r="C23" s="154"/>
      <c r="D23" s="155"/>
      <c r="E23" s="9">
        <f>-E22*'Fane 5. Individuelt eff. krav'!G9</f>
        <v>-1730.9591632335689</v>
      </c>
      <c r="F23" s="14" t="s">
        <v>3</v>
      </c>
      <c r="G23" s="1"/>
    </row>
    <row r="24" spans="1:7" x14ac:dyDescent="0.25">
      <c r="A24" s="1"/>
      <c r="B24" s="153" t="s">
        <v>23</v>
      </c>
      <c r="C24" s="154"/>
      <c r="D24" s="155"/>
      <c r="E24" s="9">
        <f>-E22*'Fane 15. Nøgletal'!C33</f>
        <v>-13794.302869177065</v>
      </c>
      <c r="F24" s="14" t="s">
        <v>3</v>
      </c>
      <c r="G24" s="1"/>
    </row>
    <row r="25" spans="1:7" x14ac:dyDescent="0.25">
      <c r="A25" s="1"/>
      <c r="B25" s="117" t="s">
        <v>146</v>
      </c>
      <c r="C25" s="118"/>
      <c r="D25" s="119"/>
      <c r="E25" s="12">
        <f>SUM(E22:E24)*(1+'Fane 15. Nøgletal'!C16)^4</f>
        <v>919948.62406467542</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4" t="s">
        <v>236</v>
      </c>
      <c r="C28" s="145"/>
      <c r="D28" s="146"/>
      <c r="E28" s="9">
        <v>689715.14345885324</v>
      </c>
      <c r="F28" s="14" t="s">
        <v>3</v>
      </c>
      <c r="G28" s="1"/>
    </row>
    <row r="29" spans="1:7" x14ac:dyDescent="0.25">
      <c r="A29" s="1"/>
      <c r="B29" s="153" t="s">
        <v>10</v>
      </c>
      <c r="C29" s="154"/>
      <c r="D29" s="155"/>
      <c r="E29" s="9">
        <f>-E28*'Fane 5. Individuelt eff. krav'!G9</f>
        <v>-1730.9591632335689</v>
      </c>
      <c r="F29" s="14" t="s">
        <v>3</v>
      </c>
      <c r="G29" s="1"/>
    </row>
    <row r="30" spans="1:7" x14ac:dyDescent="0.25">
      <c r="A30" s="1"/>
      <c r="B30" s="153" t="s">
        <v>23</v>
      </c>
      <c r="C30" s="154"/>
      <c r="D30" s="155"/>
      <c r="E30" s="9">
        <f>-E28*'Fane 15. Nøgletal'!C33</f>
        <v>-13794.302869177065</v>
      </c>
      <c r="F30" s="14" t="s">
        <v>3</v>
      </c>
      <c r="G30" s="1"/>
    </row>
    <row r="31" spans="1:7" x14ac:dyDescent="0.25">
      <c r="A31" s="1"/>
      <c r="B31" s="117" t="s">
        <v>238</v>
      </c>
      <c r="C31" s="118"/>
      <c r="D31" s="119"/>
      <c r="E31" s="12">
        <f>SUM(E28:E30)*(1+'Fane 15. Nøgletal'!C16)^5</f>
        <v>994280.47288910125</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N2x4HLTSJ8+MCE6wP/jkWIGd+kmfez0d2nrPysJITSV0YCMqny9cHzsrRhGtVRIQ6Pbo80pIRz/7FLk2Gw9Q==" saltValue="phisoXCnAVmRZPz9NdmMZ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186</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pMF4BzaTiNtg5lcxVabNSzQY5rW2TkwfE7avm1kZ7Un3kyjwUIfACGPTbTQkiSDWmgjjWV5yAB6FVqL37PtPJw==" saltValue="8neMrsHKPDsVrTZzRp5OK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187</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7" t="s">
        <v>11</v>
      </c>
      <c r="D10" s="149"/>
      <c r="E10" s="147" t="s">
        <v>28</v>
      </c>
      <c r="F10" s="149"/>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2"/>
      <c r="C15" s="152"/>
      <c r="D15" s="152"/>
      <c r="E15" s="152"/>
      <c r="F15" s="152"/>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2"/>
      <c r="C21" s="152"/>
      <c r="D21" s="152"/>
      <c r="E21" s="152"/>
      <c r="F21" s="152"/>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2"/>
      <c r="C27" s="152"/>
      <c r="D27" s="152"/>
      <c r="E27" s="152"/>
      <c r="F27" s="152"/>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izt4Ubnkk/iO0xue50EK2NPnItRmfq/GP2b0k+fm9aoAIj+i9ALSpHALnxZGKYC7Nclxttv743zVv5ugUivSCw==" saltValue="x/e4qg/iRfarEu+hefwyR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3" t="s">
        <v>201</v>
      </c>
      <c r="C3" s="113"/>
      <c r="D3" s="113"/>
      <c r="E3" s="1"/>
    </row>
    <row r="4" spans="1:5" ht="15" customHeight="1"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61538988.727446705</v>
      </c>
      <c r="D9" s="8" t="s">
        <v>3</v>
      </c>
      <c r="E9" s="1"/>
    </row>
    <row r="10" spans="1:5" ht="17.25" customHeight="1" x14ac:dyDescent="0.25">
      <c r="A10" s="1"/>
      <c r="B10" s="91" t="s">
        <v>36</v>
      </c>
      <c r="C10" s="7">
        <f>'Fane 11.1. Varige tillæg'!C20</f>
        <v>512313.25040000002</v>
      </c>
      <c r="D10" s="8" t="s">
        <v>3</v>
      </c>
      <c r="E10" s="1"/>
    </row>
    <row r="11" spans="1:5" ht="17.25" customHeight="1" x14ac:dyDescent="0.25">
      <c r="A11" s="1"/>
      <c r="B11" s="91" t="s">
        <v>37</v>
      </c>
      <c r="C11" s="9">
        <f>'Fane 11.1. Varige tillæg'!E20</f>
        <v>387621.35440000001</v>
      </c>
      <c r="D11" s="8" t="s">
        <v>3</v>
      </c>
      <c r="E11" s="1"/>
    </row>
    <row r="12" spans="1:5" ht="17.25" customHeight="1" x14ac:dyDescent="0.25">
      <c r="A12" s="1"/>
      <c r="B12" s="91" t="s">
        <v>26</v>
      </c>
      <c r="C12" s="9">
        <f>-'Fane 14. Bortfald'!C13</f>
        <v>0</v>
      </c>
      <c r="D12" s="8" t="s">
        <v>3</v>
      </c>
      <c r="E12" s="1"/>
    </row>
    <row r="13" spans="1:5" ht="17.25" customHeight="1" x14ac:dyDescent="0.25">
      <c r="A13" s="1"/>
      <c r="B13" s="91" t="s">
        <v>25</v>
      </c>
      <c r="C13" s="9">
        <f>-'Fane 14. Bortfald'!E13</f>
        <v>0</v>
      </c>
      <c r="D13" s="8" t="s">
        <v>3</v>
      </c>
      <c r="E13" s="1"/>
    </row>
    <row r="14" spans="1:5" ht="17.25" customHeight="1" x14ac:dyDescent="0.25">
      <c r="A14" s="1"/>
      <c r="B14" s="91" t="s">
        <v>105</v>
      </c>
      <c r="C14" s="9">
        <f>'Fane 13. Tilknyttet virksomhed'!C14</f>
        <v>0</v>
      </c>
      <c r="D14" s="8" t="s">
        <v>3</v>
      </c>
      <c r="E14" s="1"/>
    </row>
    <row r="15" spans="1:5" ht="17.25" customHeight="1" x14ac:dyDescent="0.25">
      <c r="A15" s="1"/>
      <c r="B15" s="91" t="s">
        <v>106</v>
      </c>
      <c r="C15" s="9">
        <f>'Fane 13. Tilknyttet virksomhed'!E14</f>
        <v>0</v>
      </c>
      <c r="D15" s="8" t="s">
        <v>3</v>
      </c>
      <c r="E15" s="1"/>
    </row>
    <row r="16" spans="1:5" ht="17.25" customHeight="1" x14ac:dyDescent="0.25">
      <c r="A16" s="1"/>
      <c r="B16" s="91" t="s">
        <v>19</v>
      </c>
      <c r="C16" s="41">
        <f>SUM(C9)*'Fane 15. Nøgletal'!C16+SUM(C10:C15)*'Fane 15. Nøgletal'!C16</f>
        <v>5045065.0052455338</v>
      </c>
      <c r="D16" s="8" t="s">
        <v>3</v>
      </c>
      <c r="E16" s="1"/>
    </row>
    <row r="17" spans="1:5" ht="17.25" customHeight="1" x14ac:dyDescent="0.25">
      <c r="A17" s="1"/>
      <c r="B17" s="91" t="s">
        <v>10</v>
      </c>
      <c r="C17" s="41">
        <f>-SUM(C9,C10:C16)*'Fane 5. Individuelt eff. krav'!G9</f>
        <v>-169362.71313187169</v>
      </c>
      <c r="D17" s="8" t="s">
        <v>3</v>
      </c>
      <c r="E17" s="1"/>
    </row>
    <row r="18" spans="1:5" ht="17.25" customHeight="1" x14ac:dyDescent="0.25">
      <c r="A18" s="1"/>
      <c r="B18" s="91" t="s">
        <v>23</v>
      </c>
      <c r="C18" s="41">
        <f>-'Fane 4.1. Gen. krav - drift'!G54</f>
        <v>-466946.59313499561</v>
      </c>
      <c r="D18" s="8" t="s">
        <v>3</v>
      </c>
      <c r="E18" s="1"/>
    </row>
    <row r="19" spans="1:5" ht="17.25" customHeight="1" x14ac:dyDescent="0.25">
      <c r="A19" s="1"/>
      <c r="B19" s="91" t="s">
        <v>24</v>
      </c>
      <c r="C19" s="41">
        <f>-'Fane 4.2. Gen. krav - anlæg'!G55</f>
        <v>0</v>
      </c>
      <c r="D19" s="8" t="s">
        <v>3</v>
      </c>
      <c r="E19" s="47"/>
    </row>
    <row r="20" spans="1:5" ht="17.25" customHeight="1" x14ac:dyDescent="0.25">
      <c r="A20" s="1"/>
      <c r="B20" s="85" t="s">
        <v>21</v>
      </c>
      <c r="C20" s="10">
        <f>SUM(C9:C19)</f>
        <v>66847679.031225368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4893511.6492729597</v>
      </c>
      <c r="D22" s="11" t="s">
        <v>3</v>
      </c>
      <c r="E22" s="1"/>
    </row>
    <row r="23" spans="1:5" ht="15" customHeight="1" x14ac:dyDescent="0.25">
      <c r="A23" s="1"/>
      <c r="B23" s="33" t="s">
        <v>74</v>
      </c>
      <c r="C23" s="28"/>
      <c r="D23" s="19"/>
      <c r="E23" s="1"/>
    </row>
    <row r="24" spans="1:5" ht="15" customHeight="1" x14ac:dyDescent="0.25">
      <c r="A24" s="1"/>
      <c r="B24" s="85" t="s">
        <v>74</v>
      </c>
      <c r="C24" s="10">
        <f>'Fane 12. Periodevise driftsomk.'!E13</f>
        <v>787540.50929243164</v>
      </c>
      <c r="D24" s="11" t="s">
        <v>3</v>
      </c>
      <c r="E24" s="1"/>
    </row>
    <row r="25" spans="1:5" ht="15" customHeight="1" x14ac:dyDescent="0.25">
      <c r="A25" s="1"/>
      <c r="B25" s="44" t="s">
        <v>73</v>
      </c>
      <c r="C25" s="42"/>
      <c r="D25" s="43"/>
      <c r="E25" s="1"/>
    </row>
    <row r="26" spans="1:5" ht="15" customHeight="1" x14ac:dyDescent="0.25">
      <c r="A26" s="1"/>
      <c r="B26" s="91" t="s">
        <v>158</v>
      </c>
      <c r="C26" s="73">
        <f>'Fane 11.2. Engangstillæg'!C14</f>
        <v>1617852.3257567999</v>
      </c>
      <c r="D26" s="8" t="s">
        <v>3</v>
      </c>
      <c r="E26" s="1"/>
    </row>
    <row r="27" spans="1:5" ht="15" customHeight="1" x14ac:dyDescent="0.25">
      <c r="A27" s="1"/>
      <c r="B27" s="91" t="s">
        <v>70</v>
      </c>
      <c r="C27" s="73">
        <f>'Fane 11.2. Engangstillæg'!E14</f>
        <v>0</v>
      </c>
      <c r="D27" s="8" t="s">
        <v>3</v>
      </c>
      <c r="E27" s="1"/>
    </row>
    <row r="28" spans="1:5" ht="15" customHeight="1" x14ac:dyDescent="0.25">
      <c r="A28" s="1"/>
      <c r="B28" s="91" t="s">
        <v>161</v>
      </c>
      <c r="C28" s="73">
        <f>-C26*('Fane 15. Nøgletal'!C33+'Fane 5. Individuelt eff. krav'!G9)</f>
        <v>-36417.326087922476</v>
      </c>
      <c r="D28" s="8" t="s">
        <v>3</v>
      </c>
      <c r="E28" s="1"/>
    </row>
    <row r="29" spans="1:5" ht="15" customHeight="1" x14ac:dyDescent="0.25">
      <c r="A29" s="1"/>
      <c r="B29" s="91" t="s">
        <v>162</v>
      </c>
      <c r="C29" s="73">
        <f>-C27*('Fane 15. Nøgletal'!C28+'Fane 5. Individuelt eff. krav'!G9)</f>
        <v>0</v>
      </c>
      <c r="D29" s="8" t="s">
        <v>3</v>
      </c>
      <c r="E29" s="1"/>
    </row>
    <row r="30" spans="1:5" ht="15" customHeight="1" x14ac:dyDescent="0.25">
      <c r="A30" s="1"/>
      <c r="B30" s="70" t="s">
        <v>75</v>
      </c>
      <c r="C30" s="10">
        <f>SUM(C26:C29)</f>
        <v>1581434.9996688773</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74110166.189459637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goMkspSOWAxe4l8ukPWdJuQjnctTNDMYA8RXBKxn7Dg2oXEBwiuS/qUfNUmqeNZP5RpRHeAzs/UhQWMVbHlxw==" saltValue="dBLX9k1YsCzJY1BLiRJiH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188</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4" t="s">
        <v>94</v>
      </c>
      <c r="C9" s="25">
        <v>1.2699999999999999E-2</v>
      </c>
      <c r="D9" s="1"/>
    </row>
    <row r="10" spans="1:4" x14ac:dyDescent="0.25">
      <c r="A10" s="1"/>
      <c r="B10" s="84" t="s">
        <v>95</v>
      </c>
      <c r="C10" s="25">
        <v>1.7500000000000002E-2</v>
      </c>
      <c r="D10" s="1"/>
    </row>
    <row r="11" spans="1:4" x14ac:dyDescent="0.25">
      <c r="A11" s="1"/>
      <c r="B11" s="84"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4"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4" t="s">
        <v>96</v>
      </c>
      <c r="C21" s="22">
        <v>9.1000000000000004E-3</v>
      </c>
      <c r="D21" s="1"/>
    </row>
    <row r="22" spans="1:4" x14ac:dyDescent="0.25">
      <c r="A22" s="1"/>
      <c r="B22" s="84" t="s">
        <v>118</v>
      </c>
      <c r="C22" s="22">
        <v>1.77E-2</v>
      </c>
      <c r="D22" s="1"/>
    </row>
    <row r="23" spans="1:4" x14ac:dyDescent="0.25">
      <c r="A23" s="1"/>
      <c r="B23" s="84" t="s">
        <v>119</v>
      </c>
      <c r="C23" s="22">
        <v>8.6999999999999994E-3</v>
      </c>
      <c r="D23" s="1"/>
    </row>
    <row r="24" spans="1:4" x14ac:dyDescent="0.25">
      <c r="A24" s="1"/>
      <c r="B24" s="84" t="s">
        <v>97</v>
      </c>
      <c r="C24" s="36">
        <v>2.8400000000000002E-2</v>
      </c>
      <c r="D24" s="1"/>
    </row>
    <row r="25" spans="1:4" x14ac:dyDescent="0.25">
      <c r="A25" s="1"/>
      <c r="B25" s="84" t="s">
        <v>120</v>
      </c>
      <c r="C25" s="36">
        <v>2.75E-2</v>
      </c>
      <c r="D25" s="1"/>
    </row>
    <row r="26" spans="1:4" x14ac:dyDescent="0.25">
      <c r="A26" s="1"/>
      <c r="B26" s="84"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4"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kHaTOTGpRUmdg88+mqN5jLd79qban++SJWG7yUM88CwSRvxRDNwpi6erquNyZBv7+dFemB9GCFy93jqagI6K+Q==" saltValue="9FnOnzYLXGjbj7Z+W3Awr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3" t="s">
        <v>202</v>
      </c>
      <c r="C3" s="113"/>
      <c r="D3" s="113"/>
      <c r="E3" s="1"/>
    </row>
    <row r="4" spans="1:5" ht="15" customHeight="1" x14ac:dyDescent="0.25">
      <c r="A4" s="1"/>
      <c r="B4" s="113"/>
      <c r="C4" s="113"/>
      <c r="D4" s="113"/>
      <c r="E4" s="1"/>
    </row>
    <row r="5" spans="1:5" x14ac:dyDescent="0.25">
      <c r="A5" s="1"/>
      <c r="B5" s="114"/>
      <c r="C5" s="114"/>
      <c r="D5" s="11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66847679.031225368</v>
      </c>
      <c r="D9" s="8" t="s">
        <v>3</v>
      </c>
      <c r="E9" s="1"/>
    </row>
    <row r="10" spans="1:5" ht="15" customHeight="1" x14ac:dyDescent="0.25">
      <c r="A10" s="1"/>
      <c r="B10" s="26" t="s">
        <v>19</v>
      </c>
      <c r="C10" s="7">
        <f>SUM(C9:C9)*'Fane 15. Nøgletal'!C16</f>
        <v>5401292.4657230098</v>
      </c>
      <c r="D10" s="8" t="s">
        <v>3</v>
      </c>
      <c r="E10" s="1"/>
    </row>
    <row r="11" spans="1:5" ht="15" customHeight="1" x14ac:dyDescent="0.25">
      <c r="A11" s="1"/>
      <c r="B11" s="26" t="s">
        <v>10</v>
      </c>
      <c r="C11" s="9">
        <f>-SUM(C9:C10)*'Fane 5. Individuelt eff. krav'!G9</f>
        <v>-181321.26057096571</v>
      </c>
      <c r="D11" s="8" t="s">
        <v>3</v>
      </c>
      <c r="E11" s="1"/>
    </row>
    <row r="12" spans="1:5" ht="15" customHeight="1" x14ac:dyDescent="0.25">
      <c r="A12" s="1"/>
      <c r="B12" s="26" t="s">
        <v>23</v>
      </c>
      <c r="C12" s="9">
        <f>-'Fane 4.1. Gen. krav - drift'!G59</f>
        <v>-494582.36030309723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71573067.876074314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5288907.3905342147</v>
      </c>
      <c r="D16" s="11" t="s">
        <v>3</v>
      </c>
      <c r="E16" s="1"/>
    </row>
    <row r="17" spans="1:5" ht="15" customHeight="1" x14ac:dyDescent="0.25">
      <c r="A17" s="1"/>
      <c r="B17" s="33" t="s">
        <v>74</v>
      </c>
      <c r="C17" s="28"/>
      <c r="D17" s="19"/>
      <c r="E17" s="1"/>
    </row>
    <row r="18" spans="1:5" ht="15" customHeight="1" x14ac:dyDescent="0.25">
      <c r="A18" s="1"/>
      <c r="B18" s="85" t="s">
        <v>74</v>
      </c>
      <c r="C18" s="10">
        <f>'Fane 12. Periodevise driftsomk.'!E19</f>
        <v>851173.78244326008</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77713149.049051791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DtB35q0agdy1qyQXV1piV9fju1qRI6tReLj1dsIkNUBN/+/RsfKcG6sqnFlCg6vZoqzj9ZhtzPMeU/nPTJoPQ==" saltValue="qn8kofEUCt7wptj5FDWWD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3" t="s">
        <v>203</v>
      </c>
      <c r="C3" s="113"/>
      <c r="D3" s="113"/>
      <c r="E3" s="1"/>
    </row>
    <row r="4" spans="1:5" ht="15" customHeight="1" x14ac:dyDescent="0.25">
      <c r="A4" s="1"/>
      <c r="B4" s="113"/>
      <c r="C4" s="113"/>
      <c r="D4" s="113"/>
      <c r="E4" s="1"/>
    </row>
    <row r="5" spans="1:5" x14ac:dyDescent="0.25">
      <c r="A5" s="1"/>
      <c r="B5" s="114" t="s">
        <v>253</v>
      </c>
      <c r="C5" s="114"/>
      <c r="D5" s="114"/>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71573067.876074314</v>
      </c>
      <c r="D9" s="8" t="s">
        <v>3</v>
      </c>
      <c r="E9" s="1"/>
    </row>
    <row r="10" spans="1:5" ht="15" customHeight="1" x14ac:dyDescent="0.25">
      <c r="A10" s="1"/>
      <c r="B10" s="26" t="s">
        <v>19</v>
      </c>
      <c r="C10" s="7">
        <f>SUM(C9:C9)*'Fane 15. Nøgletal'!C16</f>
        <v>5783103.884386804</v>
      </c>
      <c r="D10" s="8" t="s">
        <v>3</v>
      </c>
      <c r="E10" s="1"/>
    </row>
    <row r="11" spans="1:5" ht="15" customHeight="1" x14ac:dyDescent="0.25">
      <c r="A11" s="1"/>
      <c r="B11" s="26" t="s">
        <v>10</v>
      </c>
      <c r="C11" s="9">
        <f>-SUM(C9:C10)*'Fane 5. Individuelt eff. krav'!G9</f>
        <v>-194138.66088243746</v>
      </c>
      <c r="D11" s="8" t="s">
        <v>3</v>
      </c>
      <c r="E11" s="1"/>
    </row>
    <row r="12" spans="1:5" ht="15" customHeight="1" x14ac:dyDescent="0.25">
      <c r="A12" s="1"/>
      <c r="B12" s="26" t="s">
        <v>23</v>
      </c>
      <c r="C12" s="9">
        <f>-'Fane 4.1. Gen. krav - drift'!G64</f>
        <v>-523853.72271527577</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76638179.376863405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5716251.1076893788</v>
      </c>
      <c r="D16" s="11" t="s">
        <v>3</v>
      </c>
      <c r="E16" s="1"/>
    </row>
    <row r="17" spans="1:5" ht="15" customHeight="1" x14ac:dyDescent="0.25">
      <c r="A17" s="1"/>
      <c r="B17" s="33" t="s">
        <v>74</v>
      </c>
      <c r="C17" s="28"/>
      <c r="D17" s="19"/>
      <c r="E17" s="1"/>
    </row>
    <row r="18" spans="1:5" ht="15" customHeight="1" x14ac:dyDescent="0.25">
      <c r="A18" s="1"/>
      <c r="B18" s="85" t="s">
        <v>74</v>
      </c>
      <c r="C18" s="10">
        <f>'Fane 12. Periodevise driftsomk.'!E25</f>
        <v>919948.62406467542</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83274379.108617455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1+O6kV4fn/MuXt/EjWe+Ood63SbUhE+xtEtk0EPhO+pLOcORotFzFaSeo5DIQU2flDuitkt+t3FFMdDRaB7RQ==" saltValue="IfymqrtgXqEM2JFRsMl8b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3" t="s">
        <v>204</v>
      </c>
      <c r="C3" s="113"/>
      <c r="D3" s="113"/>
      <c r="E3" s="1"/>
      <c r="F3" s="1"/>
    </row>
    <row r="4" spans="1:6" ht="15" customHeight="1" x14ac:dyDescent="0.25">
      <c r="A4" s="1"/>
      <c r="B4" s="113"/>
      <c r="C4" s="113"/>
      <c r="D4" s="113"/>
      <c r="E4" s="1"/>
      <c r="F4" s="1"/>
    </row>
    <row r="5" spans="1:6" x14ac:dyDescent="0.25">
      <c r="A5" s="1"/>
      <c r="B5" s="114" t="s">
        <v>253</v>
      </c>
      <c r="C5" s="114"/>
      <c r="D5" s="114"/>
      <c r="E5" s="1"/>
      <c r="F5" s="1"/>
    </row>
    <row r="6" spans="1:6" x14ac:dyDescent="0.25">
      <c r="A6" s="1"/>
      <c r="B6" s="76"/>
      <c r="C6" s="76"/>
      <c r="D6" s="76"/>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76638179.376863405</v>
      </c>
      <c r="D9" s="8" t="s">
        <v>3</v>
      </c>
      <c r="E9" s="1"/>
      <c r="F9" s="1"/>
    </row>
    <row r="10" spans="1:6" ht="15" customHeight="1" x14ac:dyDescent="0.25">
      <c r="A10" s="1"/>
      <c r="B10" s="26" t="s">
        <v>19</v>
      </c>
      <c r="C10" s="7">
        <f>SUM(C9:C9)*'Fane 15. Nøgletal'!C16</f>
        <v>6192364.8936505625</v>
      </c>
      <c r="D10" s="8" t="s">
        <v>3</v>
      </c>
      <c r="E10" s="1"/>
      <c r="F10" s="1"/>
    </row>
    <row r="11" spans="1:6" ht="15" customHeight="1" x14ac:dyDescent="0.25">
      <c r="A11" s="1"/>
      <c r="B11" s="26" t="s">
        <v>10</v>
      </c>
      <c r="C11" s="9">
        <f>-SUM(C9:C10)*'Fane 5. Individuelt eff. krav'!G9</f>
        <v>-207877.54330237265</v>
      </c>
      <c r="D11" s="8" t="s">
        <v>3</v>
      </c>
      <c r="E11" s="1"/>
      <c r="F11" s="1"/>
    </row>
    <row r="12" spans="1:6" ht="15" customHeight="1" x14ac:dyDescent="0.25">
      <c r="A12" s="1"/>
      <c r="B12" s="26" t="s">
        <v>23</v>
      </c>
      <c r="C12" s="9">
        <f>-'Fane 4.1. Gen. krav - drift'!G69</f>
        <v>-554857.48144045658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82067809.24577114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6178124.1971906805</v>
      </c>
      <c r="D16" s="11" t="s">
        <v>3</v>
      </c>
      <c r="E16" s="1"/>
      <c r="F16" s="1"/>
    </row>
    <row r="17" spans="1:6" ht="15" customHeight="1" x14ac:dyDescent="0.25">
      <c r="A17" s="1"/>
      <c r="B17" s="33" t="s">
        <v>74</v>
      </c>
      <c r="C17" s="28"/>
      <c r="D17" s="19"/>
      <c r="E17" s="1"/>
      <c r="F17" s="1"/>
    </row>
    <row r="18" spans="1:6" ht="15" customHeight="1" x14ac:dyDescent="0.25">
      <c r="A18" s="1"/>
      <c r="B18" s="85" t="s">
        <v>74</v>
      </c>
      <c r="C18" s="10">
        <f>'Fane 12. Periodevise driftsomk.'!E31</f>
        <v>994280.47288910125</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89240213.915850922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Hqp8yKqYcIAbzChK1k9kpvKMj1704T8Ue8dOZPO/KmCCYJQ0xZrAoG6fTMI2srTXCJAgHGXD4UoO8d9oU2uD9w==" saltValue="2syzFby76wzL89PDvZIZZ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5" t="s">
        <v>205</v>
      </c>
      <c r="C3" s="115"/>
      <c r="D3" s="115"/>
      <c r="E3" s="1"/>
    </row>
    <row r="4" spans="1:5"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61980493.842330068</v>
      </c>
      <c r="D9" s="8" t="s">
        <v>3</v>
      </c>
      <c r="E9" s="1"/>
    </row>
    <row r="10" spans="1:5" x14ac:dyDescent="0.25">
      <c r="A10" s="1"/>
      <c r="B10" s="91" t="s">
        <v>36</v>
      </c>
      <c r="C10" s="7">
        <v>306637.01760000002</v>
      </c>
      <c r="D10" s="8" t="s">
        <v>3</v>
      </c>
      <c r="E10" s="1"/>
    </row>
    <row r="11" spans="1:5" x14ac:dyDescent="0.25">
      <c r="A11" s="1"/>
      <c r="B11" s="91" t="s">
        <v>37</v>
      </c>
      <c r="C11" s="9">
        <v>485019.11760000006</v>
      </c>
      <c r="D11" s="8" t="s">
        <v>3</v>
      </c>
      <c r="E11" s="1"/>
    </row>
    <row r="12" spans="1:5" x14ac:dyDescent="0.25">
      <c r="A12" s="1"/>
      <c r="B12" s="91" t="s">
        <v>26</v>
      </c>
      <c r="C12" s="9">
        <v>0</v>
      </c>
      <c r="D12" s="8" t="s">
        <v>3</v>
      </c>
      <c r="E12" s="1"/>
    </row>
    <row r="13" spans="1:5" x14ac:dyDescent="0.25">
      <c r="A13" s="1"/>
      <c r="B13" s="91" t="s">
        <v>25</v>
      </c>
      <c r="C13" s="9">
        <v>0</v>
      </c>
      <c r="D13" s="8" t="s">
        <v>3</v>
      </c>
      <c r="E13" s="1"/>
    </row>
    <row r="14" spans="1:5" x14ac:dyDescent="0.25">
      <c r="A14" s="1"/>
      <c r="B14" s="91" t="s">
        <v>105</v>
      </c>
      <c r="C14" s="9">
        <v>0</v>
      </c>
      <c r="D14" s="8" t="s">
        <v>3</v>
      </c>
      <c r="E14" s="1"/>
    </row>
    <row r="15" spans="1:5" x14ac:dyDescent="0.25">
      <c r="A15" s="1"/>
      <c r="B15" s="91" t="s">
        <v>106</v>
      </c>
      <c r="C15" s="9">
        <v>0</v>
      </c>
      <c r="D15" s="8" t="s">
        <v>3</v>
      </c>
      <c r="E15" s="1"/>
    </row>
    <row r="16" spans="1:5" x14ac:dyDescent="0.25">
      <c r="A16" s="1"/>
      <c r="B16" s="91" t="s">
        <v>19</v>
      </c>
      <c r="C16" s="41">
        <v>232718.58809280922</v>
      </c>
      <c r="D16" s="8" t="s">
        <v>3</v>
      </c>
      <c r="E16" s="1"/>
    </row>
    <row r="17" spans="1:5" x14ac:dyDescent="0.25">
      <c r="A17" s="1"/>
      <c r="B17" s="91" t="s">
        <v>10</v>
      </c>
      <c r="C17" s="41">
        <v>-395823.07938534324</v>
      </c>
      <c r="D17" s="8" t="s">
        <v>3</v>
      </c>
      <c r="E17" s="1"/>
    </row>
    <row r="18" spans="1:5" x14ac:dyDescent="0.25">
      <c r="A18" s="1"/>
      <c r="B18" s="91" t="s">
        <v>23</v>
      </c>
      <c r="C18" s="41">
        <v>-430399.65663600399</v>
      </c>
      <c r="D18" s="8" t="s">
        <v>3</v>
      </c>
      <c r="E18" s="1"/>
    </row>
    <row r="19" spans="1:5" x14ac:dyDescent="0.25">
      <c r="A19" s="1"/>
      <c r="B19" s="91" t="s">
        <v>24</v>
      </c>
      <c r="C19" s="41">
        <v>-639657.10215482907</v>
      </c>
      <c r="D19" s="8" t="s">
        <v>3</v>
      </c>
      <c r="E19" s="47"/>
    </row>
    <row r="20" spans="1:5" x14ac:dyDescent="0.25">
      <c r="A20" s="1"/>
      <c r="B20" s="85" t="s">
        <v>21</v>
      </c>
      <c r="C20" s="10">
        <v>61538988.727446705</v>
      </c>
      <c r="D20" s="11" t="s">
        <v>3</v>
      </c>
      <c r="E20" s="1"/>
    </row>
    <row r="21" spans="1:5" x14ac:dyDescent="0.25">
      <c r="A21" s="1"/>
      <c r="B21" s="33" t="s">
        <v>12</v>
      </c>
      <c r="C21" s="28"/>
      <c r="D21" s="19"/>
      <c r="E21" s="1"/>
    </row>
    <row r="22" spans="1:5" x14ac:dyDescent="0.25">
      <c r="A22" s="1"/>
      <c r="B22" s="31" t="s">
        <v>12</v>
      </c>
      <c r="C22" s="10">
        <v>5625389.4491260806</v>
      </c>
      <c r="D22" s="11" t="s">
        <v>3</v>
      </c>
      <c r="E22" s="1"/>
    </row>
    <row r="23" spans="1:5" x14ac:dyDescent="0.25">
      <c r="A23" s="1"/>
      <c r="B23" s="33" t="s">
        <v>74</v>
      </c>
      <c r="C23" s="28"/>
      <c r="D23" s="19"/>
      <c r="E23" s="1"/>
    </row>
    <row r="24" spans="1:5" x14ac:dyDescent="0.25">
      <c r="A24" s="1"/>
      <c r="B24" s="85" t="s">
        <v>74</v>
      </c>
      <c r="C24" s="10">
        <v>717886.92514049471</v>
      </c>
      <c r="D24" s="11" t="s">
        <v>3</v>
      </c>
      <c r="E24" s="1"/>
    </row>
    <row r="25" spans="1:5" x14ac:dyDescent="0.25">
      <c r="A25" s="1"/>
      <c r="B25" s="44" t="s">
        <v>73</v>
      </c>
      <c r="C25" s="42"/>
      <c r="D25" s="43"/>
      <c r="E25" s="1"/>
    </row>
    <row r="26" spans="1:5" x14ac:dyDescent="0.25">
      <c r="A26" s="1"/>
      <c r="B26" s="91" t="s">
        <v>158</v>
      </c>
      <c r="C26" s="69">
        <v>0</v>
      </c>
      <c r="D26" s="8" t="s">
        <v>3</v>
      </c>
      <c r="E26" s="1"/>
    </row>
    <row r="27" spans="1:5" x14ac:dyDescent="0.25">
      <c r="A27" s="1"/>
      <c r="B27" s="91" t="s">
        <v>70</v>
      </c>
      <c r="C27" s="69">
        <v>0</v>
      </c>
      <c r="D27" s="8" t="s">
        <v>3</v>
      </c>
      <c r="E27" s="1"/>
    </row>
    <row r="28" spans="1:5" x14ac:dyDescent="0.25">
      <c r="A28" s="1"/>
      <c r="B28" s="91" t="s">
        <v>161</v>
      </c>
      <c r="C28" s="69">
        <v>0</v>
      </c>
      <c r="D28" s="8" t="s">
        <v>3</v>
      </c>
      <c r="E28" s="1"/>
    </row>
    <row r="29" spans="1:5" x14ac:dyDescent="0.25">
      <c r="A29" s="1"/>
      <c r="B29" s="91"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-873733.22436272691</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67008531.877350554</v>
      </c>
      <c r="D37" s="30" t="s">
        <v>3</v>
      </c>
      <c r="E37" s="1"/>
    </row>
    <row r="38" spans="1:5" ht="30" customHeight="1" x14ac:dyDescent="0.25">
      <c r="A38" s="1"/>
      <c r="B38" s="116" t="s">
        <v>268</v>
      </c>
      <c r="C38" s="116"/>
      <c r="D38" s="116"/>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3Zo31yPqZnhTtrwl+vAdwAt1SYoycT/idTArFMo7i4AcwPkZ0n/VbiSMkieK3P3aUCiyou8UTRAPIhxP89Ncg==" saltValue="I9NA8jG19CkDL/0jAq8Qk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85" zoomScaleNormal="100" zoomScalePageLayoutView="85"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5" t="s">
        <v>91</v>
      </c>
      <c r="C2" s="115"/>
      <c r="D2" s="115"/>
      <c r="E2" s="115"/>
      <c r="F2" s="115"/>
      <c r="G2" s="115"/>
      <c r="H2" s="115"/>
      <c r="I2" s="1"/>
    </row>
    <row r="3" spans="1:9" ht="28.5" customHeight="1" x14ac:dyDescent="0.25">
      <c r="A3" s="1"/>
      <c r="B3" s="115"/>
      <c r="C3" s="115"/>
      <c r="D3" s="115"/>
      <c r="E3" s="115"/>
      <c r="F3" s="115"/>
      <c r="G3" s="115"/>
      <c r="H3" s="115"/>
      <c r="I3" s="1"/>
    </row>
    <row r="4" spans="1:9" x14ac:dyDescent="0.25">
      <c r="A4" s="1"/>
      <c r="B4" s="117" t="s">
        <v>46</v>
      </c>
      <c r="C4" s="118"/>
      <c r="D4" s="118"/>
      <c r="E4" s="118"/>
      <c r="F4" s="118"/>
      <c r="G4" s="118"/>
      <c r="H4" s="119"/>
      <c r="I4" s="1"/>
    </row>
    <row r="5" spans="1:9" x14ac:dyDescent="0.25">
      <c r="A5" s="1"/>
      <c r="B5" s="120" t="s">
        <v>38</v>
      </c>
      <c r="C5" s="121"/>
      <c r="D5" s="121"/>
      <c r="E5" s="121"/>
      <c r="F5" s="122"/>
      <c r="G5" s="63">
        <v>21727577.420105297</v>
      </c>
      <c r="H5" s="14" t="s">
        <v>3</v>
      </c>
      <c r="I5" s="1"/>
    </row>
    <row r="6" spans="1:9" x14ac:dyDescent="0.25">
      <c r="A6" s="1"/>
      <c r="B6" s="129" t="s">
        <v>102</v>
      </c>
      <c r="C6" s="130"/>
      <c r="D6" s="130"/>
      <c r="E6" s="130"/>
      <c r="F6" s="131"/>
      <c r="G6" s="9">
        <v>4875127.1650594948</v>
      </c>
      <c r="H6" s="14" t="s">
        <v>3</v>
      </c>
      <c r="I6" s="1"/>
    </row>
    <row r="7" spans="1:9" x14ac:dyDescent="0.25">
      <c r="A7" s="1"/>
      <c r="B7" s="120" t="s">
        <v>39</v>
      </c>
      <c r="C7" s="121"/>
      <c r="D7" s="121"/>
      <c r="E7" s="121"/>
      <c r="F7" s="122"/>
      <c r="G7" s="23">
        <f>SUM(G5:G6)*'Fane 15. Nøgletal'!C33</f>
        <v>532054.09170329582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21566444.986649036</v>
      </c>
      <c r="H11" s="14" t="s">
        <v>3</v>
      </c>
      <c r="I11" s="1"/>
    </row>
    <row r="12" spans="1:9" ht="15" customHeight="1" x14ac:dyDescent="0.25">
      <c r="A12" s="1"/>
      <c r="B12" s="120" t="s">
        <v>103</v>
      </c>
      <c r="C12" s="121"/>
      <c r="D12" s="121"/>
      <c r="E12" s="121"/>
      <c r="F12" s="122"/>
      <c r="G12" s="66">
        <v>2.8428621590137484E-9</v>
      </c>
      <c r="H12" s="14" t="s">
        <v>3</v>
      </c>
      <c r="I12" s="1"/>
    </row>
    <row r="13" spans="1:9" x14ac:dyDescent="0.25">
      <c r="A13" s="1"/>
      <c r="B13" s="129" t="s">
        <v>100</v>
      </c>
      <c r="C13" s="130"/>
      <c r="D13" s="130"/>
      <c r="E13" s="130"/>
      <c r="F13" s="131"/>
      <c r="G13" s="66">
        <v>1931623.0175000001</v>
      </c>
      <c r="H13" s="14" t="s">
        <v>3</v>
      </c>
      <c r="I13" s="1"/>
    </row>
    <row r="14" spans="1:9" x14ac:dyDescent="0.25">
      <c r="A14" s="1"/>
      <c r="B14" s="126" t="s">
        <v>244</v>
      </c>
      <c r="C14" s="127"/>
      <c r="D14" s="127"/>
      <c r="E14" s="127"/>
      <c r="F14" s="128"/>
      <c r="G14" s="66">
        <v>0</v>
      </c>
      <c r="H14" s="14" t="s">
        <v>3</v>
      </c>
      <c r="I14" s="1"/>
    </row>
    <row r="15" spans="1:9" x14ac:dyDescent="0.25">
      <c r="A15" s="1"/>
      <c r="B15" s="120" t="s">
        <v>41</v>
      </c>
      <c r="C15" s="121"/>
      <c r="D15" s="121"/>
      <c r="E15" s="121"/>
      <c r="F15" s="122"/>
      <c r="G15" s="23">
        <f>SUM(G11:G14)*'Fane 15. Nøgletal'!C33</f>
        <v>469961.36008298083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21465672.090030968</v>
      </c>
      <c r="H19" s="14" t="s">
        <v>3</v>
      </c>
      <c r="I19" s="1"/>
    </row>
    <row r="20" spans="1:9" x14ac:dyDescent="0.25">
      <c r="A20" s="1"/>
      <c r="B20" s="126" t="s">
        <v>245</v>
      </c>
      <c r="C20" s="127"/>
      <c r="D20" s="127"/>
      <c r="E20" s="127"/>
      <c r="F20" s="128"/>
      <c r="G20" s="9">
        <v>0</v>
      </c>
      <c r="H20" s="14" t="s">
        <v>3</v>
      </c>
      <c r="I20" s="1"/>
    </row>
    <row r="21" spans="1:9" x14ac:dyDescent="0.25">
      <c r="A21" s="1"/>
      <c r="B21" s="120" t="s">
        <v>43</v>
      </c>
      <c r="C21" s="121"/>
      <c r="D21" s="121"/>
      <c r="E21" s="121"/>
      <c r="F21" s="122"/>
      <c r="G21" s="23">
        <f>SUM(G19:G20)*'Fane 15. Nøgletal'!C33</f>
        <v>429313.44180061936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21450774.913600486</v>
      </c>
      <c r="H25" s="14" t="s">
        <v>3</v>
      </c>
      <c r="I25" s="1"/>
    </row>
    <row r="26" spans="1:9" x14ac:dyDescent="0.25">
      <c r="A26" s="1"/>
      <c r="B26" s="126" t="s">
        <v>246</v>
      </c>
      <c r="C26" s="127"/>
      <c r="D26" s="127"/>
      <c r="E26" s="127"/>
      <c r="F26" s="128"/>
      <c r="G26" s="9">
        <v>218296.23097887004</v>
      </c>
      <c r="H26" s="14" t="s">
        <v>3</v>
      </c>
      <c r="I26" s="1"/>
    </row>
    <row r="27" spans="1:9" x14ac:dyDescent="0.25">
      <c r="A27" s="1"/>
      <c r="B27" s="120" t="s">
        <v>45</v>
      </c>
      <c r="C27" s="121"/>
      <c r="D27" s="121"/>
      <c r="E27" s="121"/>
      <c r="F27" s="122"/>
      <c r="G27" s="23">
        <f>(G25+G26)*'Fane 15. Nøgletal'!C33</f>
        <v>433381.42289158708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21654032.809205018</v>
      </c>
      <c r="H31" s="14" t="s">
        <v>3</v>
      </c>
      <c r="I31" s="1"/>
    </row>
    <row r="32" spans="1:9" x14ac:dyDescent="0.25">
      <c r="A32" s="1"/>
      <c r="B32" s="120" t="s">
        <v>243</v>
      </c>
      <c r="C32" s="121"/>
      <c r="D32" s="121"/>
      <c r="E32" s="121"/>
      <c r="F32" s="122"/>
      <c r="G32" s="23">
        <v>43304.605820279998</v>
      </c>
      <c r="H32" s="14" t="s">
        <v>3</v>
      </c>
      <c r="I32" s="1"/>
    </row>
    <row r="33" spans="1:9" x14ac:dyDescent="0.25">
      <c r="A33" s="1"/>
      <c r="B33" s="120" t="s">
        <v>54</v>
      </c>
      <c r="C33" s="121"/>
      <c r="D33" s="121"/>
      <c r="E33" s="121"/>
      <c r="F33" s="122"/>
      <c r="G33" s="23">
        <f>(G31+G32)*'Fane 15. Nøgletal'!C33</f>
        <v>433946.74830050598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21333559.855924983</v>
      </c>
      <c r="H37" s="14" t="s">
        <v>3</v>
      </c>
      <c r="I37" s="1"/>
    </row>
    <row r="38" spans="1:9" x14ac:dyDescent="0.25">
      <c r="A38" s="1"/>
      <c r="B38" s="120" t="s">
        <v>242</v>
      </c>
      <c r="C38" s="121"/>
      <c r="D38" s="121"/>
      <c r="E38" s="121"/>
      <c r="F38" s="122"/>
      <c r="G38" s="23">
        <v>230411.21949922005</v>
      </c>
      <c r="H38" s="14" t="s">
        <v>3</v>
      </c>
      <c r="I38" s="1"/>
    </row>
    <row r="39" spans="1:9" x14ac:dyDescent="0.25">
      <c r="A39" s="1"/>
      <c r="B39" s="120" t="s">
        <v>128</v>
      </c>
      <c r="C39" s="121"/>
      <c r="D39" s="121"/>
      <c r="E39" s="121"/>
      <c r="F39" s="122"/>
      <c r="G39" s="23">
        <f>(G37+G38)*'Fane 15. Nøgletal'!C33</f>
        <v>431279.42150848405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21202429.536373641</v>
      </c>
      <c r="H43" s="14" t="s">
        <v>3</v>
      </c>
      <c r="I43" s="1"/>
    </row>
    <row r="44" spans="1:9" x14ac:dyDescent="0.25">
      <c r="A44" s="1"/>
      <c r="B44" s="123" t="s">
        <v>157</v>
      </c>
      <c r="C44" s="124"/>
      <c r="D44" s="124"/>
      <c r="E44" s="124"/>
      <c r="F44" s="125"/>
      <c r="G44" s="45">
        <v>317553.29542656004</v>
      </c>
      <c r="H44" s="14" t="s">
        <v>3</v>
      </c>
      <c r="I44" s="1"/>
    </row>
    <row r="45" spans="1:9" x14ac:dyDescent="0.25">
      <c r="A45" s="1"/>
      <c r="B45" s="120" t="s">
        <v>129</v>
      </c>
      <c r="C45" s="121"/>
      <c r="D45" s="121"/>
      <c r="E45" s="121"/>
      <c r="F45" s="122"/>
      <c r="G45" s="23">
        <f>SUM(G43:G44)*'Fane 15. Nøgletal'!C33</f>
        <v>430399.65663600399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22793621.495717462</v>
      </c>
      <c r="H52" s="14" t="s">
        <v>3</v>
      </c>
      <c r="I52" s="1"/>
    </row>
    <row r="53" spans="1:9" x14ac:dyDescent="0.25">
      <c r="A53" s="1"/>
      <c r="B53" s="81" t="s">
        <v>194</v>
      </c>
      <c r="C53" s="82"/>
      <c r="D53" s="82"/>
      <c r="E53" s="82"/>
      <c r="F53" s="83"/>
      <c r="G53" s="23">
        <f>('Fane 2.1. Økonomisk ramme 2024'!C10+'Fane 2.1. Økonomisk ramme 2024'!C12+'Fane 2.1. Økonomisk ramme 2024'!C14)*(1+'Fane 15. Nøgletal'!C16)</f>
        <v>553708.16103232</v>
      </c>
      <c r="H53" s="14" t="s">
        <v>3</v>
      </c>
      <c r="I53" s="1"/>
    </row>
    <row r="54" spans="1:9" x14ac:dyDescent="0.25">
      <c r="A54" s="1"/>
      <c r="B54" s="120" t="s">
        <v>210</v>
      </c>
      <c r="C54" s="121"/>
      <c r="D54" s="121"/>
      <c r="E54" s="121"/>
      <c r="F54" s="122"/>
      <c r="G54" s="23">
        <f>(G52)*'Fane 15. Nøgletal'!C33+(G53)*'Fane 15. Nøgletal'!C33</f>
        <v>466946.59313499561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81" t="s">
        <v>212</v>
      </c>
      <c r="C58" s="82"/>
      <c r="D58" s="82"/>
      <c r="E58" s="82"/>
      <c r="F58" s="83"/>
      <c r="G58" s="23">
        <f>(G52+G53-G54)*(1+'Fane 15. Nøgletal'!C16)</f>
        <v>24729118.015154861</v>
      </c>
      <c r="H58" s="14" t="s">
        <v>3</v>
      </c>
      <c r="I58" s="1"/>
    </row>
    <row r="59" spans="1:9" x14ac:dyDescent="0.25">
      <c r="A59" s="1"/>
      <c r="B59" s="81" t="s">
        <v>211</v>
      </c>
      <c r="C59" s="82"/>
      <c r="D59" s="82"/>
      <c r="E59" s="82"/>
      <c r="F59" s="83"/>
      <c r="G59" s="23">
        <f>(G58)*'Fane 15. Nøgletal'!C33</f>
        <v>494582.36030309723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81" t="s">
        <v>213</v>
      </c>
      <c r="C63" s="82"/>
      <c r="D63" s="82"/>
      <c r="E63" s="82"/>
      <c r="F63" s="83"/>
      <c r="G63" s="23">
        <f>(G58-G59)*(1+'Fane 15. Nøgletal'!C16)</f>
        <v>26192686.135763787</v>
      </c>
      <c r="H63" s="14" t="s">
        <v>3</v>
      </c>
      <c r="I63" s="1"/>
    </row>
    <row r="64" spans="1:9" x14ac:dyDescent="0.25">
      <c r="A64" s="1"/>
      <c r="B64" s="81" t="s">
        <v>214</v>
      </c>
      <c r="C64" s="82"/>
      <c r="D64" s="82"/>
      <c r="E64" s="82"/>
      <c r="F64" s="83"/>
      <c r="G64" s="23">
        <f>(G63)*'Fane 15. Nøgletal'!C33</f>
        <v>523853.72271527577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81" t="s">
        <v>213</v>
      </c>
      <c r="C68" s="82"/>
      <c r="D68" s="82"/>
      <c r="E68" s="82"/>
      <c r="F68" s="83"/>
      <c r="G68" s="23">
        <f>(G63-G64)*(1+'Fane 15. Nøgletal'!C16)</f>
        <v>27742874.072022829</v>
      </c>
      <c r="H68" s="14" t="s">
        <v>3</v>
      </c>
      <c r="I68" s="1"/>
    </row>
    <row r="69" spans="1:9" x14ac:dyDescent="0.25">
      <c r="A69" s="1"/>
      <c r="B69" s="81" t="s">
        <v>214</v>
      </c>
      <c r="C69" s="82"/>
      <c r="D69" s="82"/>
      <c r="E69" s="82"/>
      <c r="F69" s="83"/>
      <c r="G69" s="23">
        <f>(G68)*'Fane 15. Nøgletal'!C33</f>
        <v>554857.48144045658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OY3KAuv1/clLwjPWeOZYOSCEt36RyaercVTYARxW75l4swUDg86P94iyEClxpkbZh655Oe1Jwv0HFY6mUxwQCw==" saltValue="l9Jr/j/x3yhEvCWEvE7Hl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5" zoomScaleNormal="100" zoomScalePageLayoutView="85"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2" t="s">
        <v>92</v>
      </c>
      <c r="C1" s="132"/>
      <c r="D1" s="132"/>
      <c r="E1" s="132"/>
      <c r="F1" s="132"/>
      <c r="G1" s="132"/>
      <c r="H1" s="132"/>
      <c r="I1" s="1"/>
    </row>
    <row r="2" spans="1:9" ht="15"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50</v>
      </c>
      <c r="C4" s="118"/>
      <c r="D4" s="118"/>
      <c r="E4" s="118"/>
      <c r="F4" s="118"/>
      <c r="G4" s="118"/>
      <c r="H4" s="119"/>
      <c r="I4" s="1"/>
    </row>
    <row r="5" spans="1:9" x14ac:dyDescent="0.25">
      <c r="A5" s="1"/>
      <c r="B5" s="120" t="s">
        <v>55</v>
      </c>
      <c r="C5" s="121"/>
      <c r="D5" s="121"/>
      <c r="E5" s="121"/>
      <c r="F5" s="122"/>
      <c r="G5" s="63">
        <v>42813702.291597784</v>
      </c>
      <c r="H5" s="14" t="s">
        <v>3</v>
      </c>
      <c r="I5" s="1"/>
    </row>
    <row r="6" spans="1:9" x14ac:dyDescent="0.25">
      <c r="A6" s="1"/>
      <c r="B6" s="120" t="s">
        <v>51</v>
      </c>
      <c r="C6" s="121"/>
      <c r="D6" s="121"/>
      <c r="E6" s="121"/>
      <c r="F6" s="122"/>
      <c r="G6" s="23">
        <f>G5*'Fane 15. Nøgletal'!C21</f>
        <v>389604.69085353985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43166519.308757275</v>
      </c>
      <c r="H10" s="14" t="s">
        <v>3</v>
      </c>
      <c r="I10" s="1"/>
    </row>
    <row r="11" spans="1:9" x14ac:dyDescent="0.25">
      <c r="A11" s="1"/>
      <c r="B11" s="120" t="s">
        <v>104</v>
      </c>
      <c r="C11" s="121"/>
      <c r="D11" s="121"/>
      <c r="E11" s="121"/>
      <c r="F11" s="122"/>
      <c r="G11" s="63">
        <v>1420932.8283779216</v>
      </c>
      <c r="H11" s="14" t="s">
        <v>3</v>
      </c>
      <c r="I11" s="1"/>
    </row>
    <row r="12" spans="1:9" x14ac:dyDescent="0.25">
      <c r="A12" s="1"/>
      <c r="B12" s="126" t="s">
        <v>247</v>
      </c>
      <c r="C12" s="127"/>
      <c r="D12" s="127"/>
      <c r="E12" s="127"/>
      <c r="F12" s="128"/>
      <c r="G12" s="66">
        <v>0</v>
      </c>
      <c r="H12" s="14" t="s">
        <v>3</v>
      </c>
      <c r="I12" s="1"/>
    </row>
    <row r="13" spans="1:9" x14ac:dyDescent="0.25">
      <c r="A13" s="1"/>
      <c r="B13" s="120" t="s">
        <v>58</v>
      </c>
      <c r="C13" s="121"/>
      <c r="D13" s="121"/>
      <c r="E13" s="121"/>
      <c r="F13" s="122"/>
      <c r="G13" s="23">
        <f>SUM(G10:G12)*'Fane 15. Nøgletal'!C22</f>
        <v>789197.90282729303</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44564723.683408298</v>
      </c>
      <c r="H17" s="14" t="s">
        <v>3</v>
      </c>
      <c r="I17" s="1"/>
    </row>
    <row r="18" spans="1:9" x14ac:dyDescent="0.25">
      <c r="A18" s="1"/>
      <c r="B18" s="126" t="s">
        <v>248</v>
      </c>
      <c r="C18" s="127"/>
      <c r="D18" s="127"/>
      <c r="E18" s="127"/>
      <c r="F18" s="128"/>
      <c r="G18" s="63">
        <v>147175.20035763996</v>
      </c>
      <c r="H18" s="14" t="s">
        <v>3</v>
      </c>
      <c r="I18" s="1"/>
    </row>
    <row r="19" spans="1:9" x14ac:dyDescent="0.25">
      <c r="A19" s="1"/>
      <c r="B19" s="120" t="s">
        <v>61</v>
      </c>
      <c r="C19" s="121"/>
      <c r="D19" s="121"/>
      <c r="E19" s="121"/>
      <c r="F19" s="122"/>
      <c r="G19" s="23">
        <f>G17*'Fane 15. Nøgletal'!C22+G18*'Fane 15. Nøgletal'!C23</f>
        <v>790076.03343943844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44787082.760477938</v>
      </c>
      <c r="H23" s="14" t="s">
        <v>3</v>
      </c>
      <c r="I23" s="1"/>
    </row>
    <row r="24" spans="1:9" x14ac:dyDescent="0.25">
      <c r="A24" s="1"/>
      <c r="B24" s="126" t="s">
        <v>249</v>
      </c>
      <c r="C24" s="127"/>
      <c r="D24" s="127"/>
      <c r="E24" s="127"/>
      <c r="F24" s="128"/>
      <c r="G24" s="63">
        <v>388184.43423573009</v>
      </c>
      <c r="H24" s="14" t="s">
        <v>3</v>
      </c>
      <c r="I24" s="1"/>
    </row>
    <row r="25" spans="1:9" x14ac:dyDescent="0.25">
      <c r="A25" s="1"/>
      <c r="B25" s="120" t="s">
        <v>64</v>
      </c>
      <c r="C25" s="121"/>
      <c r="D25" s="121"/>
      <c r="E25" s="121"/>
      <c r="F25" s="122"/>
      <c r="G25" s="23">
        <f>(G23+G24)*'Fane 15. Nøgletal'!C24</f>
        <v>1282977.5883298682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44756967.711629562</v>
      </c>
      <c r="H29" s="14" t="s">
        <v>3</v>
      </c>
      <c r="I29" s="1"/>
    </row>
    <row r="30" spans="1:9" x14ac:dyDescent="0.25">
      <c r="A30" s="1"/>
      <c r="B30" s="120" t="s">
        <v>250</v>
      </c>
      <c r="C30" s="121"/>
      <c r="D30" s="121"/>
      <c r="E30" s="121"/>
      <c r="F30" s="122"/>
      <c r="G30" s="63">
        <v>59881.806051479994</v>
      </c>
      <c r="H30" s="14" t="s">
        <v>3</v>
      </c>
      <c r="I30" s="1"/>
    </row>
    <row r="31" spans="1:9" x14ac:dyDescent="0.25">
      <c r="A31" s="1"/>
      <c r="B31" s="120" t="s">
        <v>67</v>
      </c>
      <c r="C31" s="121"/>
      <c r="D31" s="121"/>
      <c r="E31" s="121"/>
      <c r="F31" s="122"/>
      <c r="G31" s="23">
        <f>G29*'Fane 15. Nøgletal'!C24+G30*'Fane 15. Nøgletal'!C25</f>
        <v>1272744.6326766952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43687800.431124859</v>
      </c>
      <c r="H35" s="14" t="s">
        <v>3</v>
      </c>
      <c r="I35" s="1"/>
    </row>
    <row r="36" spans="1:9" x14ac:dyDescent="0.25">
      <c r="A36" s="1"/>
      <c r="B36" s="120" t="s">
        <v>251</v>
      </c>
      <c r="C36" s="121"/>
      <c r="D36" s="121"/>
      <c r="E36" s="121"/>
      <c r="F36" s="122"/>
      <c r="G36" s="63">
        <v>37247.622762670006</v>
      </c>
      <c r="H36" s="14" t="s">
        <v>3</v>
      </c>
      <c r="I36" s="1"/>
    </row>
    <row r="37" spans="1:9" x14ac:dyDescent="0.25">
      <c r="A37" s="1"/>
      <c r="B37" s="120" t="s">
        <v>131</v>
      </c>
      <c r="C37" s="121"/>
      <c r="D37" s="121"/>
      <c r="E37" s="121"/>
      <c r="F37" s="122"/>
      <c r="G37" s="23">
        <f>(G35+G36)*'Fane 15. Nøgletal'!C26</f>
        <v>647130.71119753551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43220074.469920881</v>
      </c>
      <c r="H41" s="14" t="s">
        <v>3</v>
      </c>
      <c r="I41" s="1"/>
    </row>
    <row r="42" spans="1:9" x14ac:dyDescent="0.25">
      <c r="A42" s="1"/>
      <c r="B42" s="40" t="s">
        <v>156</v>
      </c>
      <c r="C42" s="82"/>
      <c r="D42" s="82"/>
      <c r="E42" s="82"/>
      <c r="F42" s="83"/>
      <c r="G42" s="72">
        <v>502285.7981865601</v>
      </c>
      <c r="H42" s="14" t="s">
        <v>3</v>
      </c>
      <c r="I42" s="1"/>
    </row>
    <row r="43" spans="1:9" x14ac:dyDescent="0.25">
      <c r="A43" s="1"/>
      <c r="B43" s="120" t="s">
        <v>132</v>
      </c>
      <c r="C43" s="121"/>
      <c r="D43" s="121"/>
      <c r="E43" s="121"/>
      <c r="F43" s="122"/>
      <c r="G43" s="23">
        <f>(G41)*'Fane 15. Nøgletal'!C26+G42*'Fane 15. Nøgletal'!C27</f>
        <v>639657.10215482907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46563785.581761584</v>
      </c>
      <c r="H53" s="14" t="s">
        <v>3</v>
      </c>
      <c r="I53" s="1"/>
    </row>
    <row r="54" spans="1:9" x14ac:dyDescent="0.25">
      <c r="A54" s="1"/>
      <c r="B54" s="81" t="s">
        <v>195</v>
      </c>
      <c r="C54" s="82"/>
      <c r="D54" s="82"/>
      <c r="E54" s="82"/>
      <c r="F54" s="83"/>
      <c r="G54" s="23">
        <f>('Fane 2.1. Økonomisk ramme 2024'!C11+'Fane 2.1. Økonomisk ramme 2024'!C13+'Fane 2.1. Økonomisk ramme 2024'!C15)*(1+'Fane 15. Nøgletal'!C16)</f>
        <v>418941.15983552003</v>
      </c>
      <c r="H54" s="14" t="s">
        <v>3</v>
      </c>
      <c r="I54" s="1"/>
    </row>
    <row r="55" spans="1:9" x14ac:dyDescent="0.25">
      <c r="A55" s="1"/>
      <c r="B55" s="120" t="s">
        <v>218</v>
      </c>
      <c r="C55" s="121"/>
      <c r="D55" s="121"/>
      <c r="E55" s="121"/>
      <c r="F55" s="122"/>
      <c r="G55" s="75">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50778931.062318146</v>
      </c>
      <c r="H59" s="14" t="s">
        <v>3</v>
      </c>
      <c r="I59" s="1"/>
    </row>
    <row r="60" spans="1:9" x14ac:dyDescent="0.25">
      <c r="A60" s="1"/>
      <c r="B60" s="120" t="s">
        <v>220</v>
      </c>
      <c r="C60" s="121"/>
      <c r="D60" s="121"/>
      <c r="E60" s="121"/>
      <c r="F60" s="122"/>
      <c r="G60" s="75">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54881868.692153454</v>
      </c>
      <c r="H64" s="14" t="s">
        <v>3</v>
      </c>
      <c r="I64" s="1"/>
    </row>
    <row r="65" spans="1:9" x14ac:dyDescent="0.25">
      <c r="A65" s="1"/>
      <c r="B65" s="120" t="s">
        <v>222</v>
      </c>
      <c r="C65" s="121"/>
      <c r="D65" s="121"/>
      <c r="E65" s="121"/>
      <c r="F65" s="122"/>
      <c r="G65" s="75">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59316323.682479449</v>
      </c>
      <c r="H69" s="14" t="s">
        <v>3</v>
      </c>
      <c r="I69" s="1"/>
    </row>
    <row r="70" spans="1:9" x14ac:dyDescent="0.25">
      <c r="A70" s="1"/>
      <c r="B70" s="120" t="s">
        <v>222</v>
      </c>
      <c r="C70" s="121"/>
      <c r="D70" s="121"/>
      <c r="E70" s="121"/>
      <c r="F70" s="122"/>
      <c r="G70" s="75">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yAtYBINix+lVwaH5BzG5EubtBD/kr0xAO8ZVKfJylSKynR5R3VK7oHrqjo7wRnbJ8McgxgBeCeTb3Iuwr+FOWw==" saltValue="89CLsuAOFdNxUtxBDdxy2w=="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3" t="s">
        <v>76</v>
      </c>
      <c r="C3" s="113"/>
      <c r="D3" s="113"/>
      <c r="E3" s="113"/>
      <c r="F3" s="113"/>
      <c r="G3" s="113"/>
      <c r="H3" s="1"/>
    </row>
    <row r="4" spans="1:8" ht="15" customHeight="1" x14ac:dyDescent="0.25">
      <c r="A4" s="1"/>
      <c r="B4" s="113"/>
      <c r="C4" s="113"/>
      <c r="D4" s="113"/>
      <c r="E4" s="113"/>
      <c r="F4" s="113"/>
      <c r="G4" s="11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2.5096725505445333E-3</v>
      </c>
      <c r="H9" s="1"/>
    </row>
    <row r="10" spans="1:8" x14ac:dyDescent="0.25">
      <c r="A10" s="1"/>
      <c r="B10" s="33"/>
      <c r="C10" s="28"/>
      <c r="D10" s="28"/>
      <c r="E10" s="28"/>
      <c r="F10" s="28"/>
      <c r="G10" s="19"/>
      <c r="H10" s="1"/>
    </row>
    <row r="11" spans="1:8" ht="33" customHeight="1" x14ac:dyDescent="0.25">
      <c r="A11" s="1"/>
      <c r="B11" s="134" t="s">
        <v>264</v>
      </c>
      <c r="C11" s="134"/>
      <c r="D11" s="134"/>
      <c r="E11" s="134"/>
      <c r="F11" s="134"/>
      <c r="G11" s="13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V5WyRZ+SxxheH+WadVQOXXuDPsf4puNYmAX5/rlw1hQvnHrryk1DPUgv8OeSxFuE1tT/VyVnCS4CSzFnGCbNeg==" saltValue="rNaawbgm4HQbolgBA5H0+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2024-02-12T12:09:54Z</dcterms:modified>
</cp:coreProperties>
</file>