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olland Vand AS (V12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4" i="15"/>
  <c r="C23" i="22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<sst xmlns="http://schemas.openxmlformats.org/spreadsheetml/2006/main" count="617" uniqueCount="253">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</sst>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2" fontId="8" fillId="8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4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251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163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15</v>
      </c>
      <c r="D14" s="81" t="s">
        <v>83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35</v>
      </c>
      <c r="D15" s="81" t="s">
        <v>128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36</v>
      </c>
      <c r="D16" s="81" t="s">
        <v>180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127</v>
      </c>
      <c r="D17" s="81" t="s">
        <v>181</v>
      </c>
      <c r="E17" s="82"/>
      <c r="F17" s="82"/>
      <c r="G17" s="83"/>
      <c r="H17" s="1"/>
      <c r="I17" s="1"/>
    </row>
    <row r="18" spans="1:9" x14ac:dyDescent="0.25">
      <c r="A18" s="1"/>
      <c r="B18" s="1"/>
      <c r="C18" s="32" t="s">
        <v>111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32" t="s">
        <v>112</v>
      </c>
      <c r="D19" s="87" t="s">
        <v>101</v>
      </c>
      <c r="E19" s="88"/>
      <c r="F19" s="88"/>
      <c r="G19" s="89"/>
      <c r="H19" s="1"/>
      <c r="I19" s="1"/>
    </row>
    <row r="20" spans="1:9" x14ac:dyDescent="0.25">
      <c r="A20" s="1"/>
      <c r="B20" s="1"/>
      <c r="C20" s="32" t="s">
        <v>7</v>
      </c>
      <c r="D20" s="87" t="s">
        <v>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113</v>
      </c>
      <c r="D21" s="78" t="s">
        <v>12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87</v>
      </c>
      <c r="D22" s="72" t="s">
        <v>182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170</v>
      </c>
      <c r="D24" s="72" t="s">
        <v>88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171</v>
      </c>
      <c r="D25" s="72" t="s">
        <v>89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172</v>
      </c>
      <c r="D26" s="72" t="s">
        <v>129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108</v>
      </c>
      <c r="D28" s="75" t="s">
        <v>109</v>
      </c>
      <c r="E28" s="76"/>
      <c r="F28" s="76"/>
      <c r="G28" s="7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E5vbUlTNg+61VLGH0zSBF8dQeahlPIGb7AE5Zq3zW8nQVFHfJNJgUsHW8WKYCP8C8cYVVJ1v77NkJ7BTqIH2Q==" saltValue="vGHlwnWlKiHnlJb//P0ie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202</v>
      </c>
      <c r="C8" s="114"/>
      <c r="D8" s="115"/>
      <c r="E8" s="1"/>
      <c r="F8" s="1"/>
    </row>
    <row r="9" spans="1:6" ht="15" customHeight="1" x14ac:dyDescent="0.25">
      <c r="A9" s="1"/>
      <c r="B9" s="56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7" t="s">
        <v>227</v>
      </c>
      <c r="C10" s="9">
        <v>9624807</v>
      </c>
      <c r="D10" s="14" t="s">
        <v>3</v>
      </c>
      <c r="E10" s="1"/>
      <c r="F10" s="1"/>
    </row>
    <row r="11" spans="1:6" x14ac:dyDescent="0.25">
      <c r="A11" s="1"/>
      <c r="B11" s="67" t="s">
        <v>228</v>
      </c>
      <c r="C11" s="9">
        <v>69735</v>
      </c>
      <c r="D11" s="14" t="s">
        <v>3</v>
      </c>
      <c r="E11" s="1"/>
      <c r="F11" s="1"/>
    </row>
    <row r="12" spans="1:6" x14ac:dyDescent="0.25">
      <c r="A12" s="1"/>
      <c r="B12" s="67" t="s">
        <v>229</v>
      </c>
      <c r="C12" s="9">
        <v>38936</v>
      </c>
      <c r="D12" s="14" t="s">
        <v>3</v>
      </c>
      <c r="E12" s="1"/>
      <c r="F12" s="1"/>
    </row>
    <row r="13" spans="1:6" x14ac:dyDescent="0.25">
      <c r="A13" s="1"/>
      <c r="B13" s="67" t="s">
        <v>252</v>
      </c>
      <c r="C13" s="9">
        <v>9912</v>
      </c>
      <c r="D13" s="14" t="s">
        <v>3</v>
      </c>
      <c r="E13" s="1"/>
      <c r="F13" s="1"/>
    </row>
    <row r="14" spans="1:6" x14ac:dyDescent="0.25">
      <c r="A14" s="1"/>
      <c r="B14" s="59" t="s">
        <v>204</v>
      </c>
      <c r="C14" s="12">
        <f>SUM(C10:C13)</f>
        <v>9743390</v>
      </c>
      <c r="D14" s="13" t="s">
        <v>3</v>
      </c>
      <c r="E14" s="1"/>
      <c r="F14" s="1"/>
    </row>
    <row r="15" spans="1:6" x14ac:dyDescent="0.25">
      <c r="A15" s="1"/>
      <c r="B15" s="59" t="s">
        <v>205</v>
      </c>
      <c r="C15" s="12">
        <f>C14*(1+'Fane 12. Nøgletal'!C14)^2</f>
        <v>9807802.4795171022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L7WHG6eLURrVH5kmBCtTnGSxvATQEht3SphR96xB6sN6a6LpczFW3Qy7uE+fVpz3yBO8V9/TwU0UJ8qFzMhefA==" saltValue="tTtkfKmFVcHWdS5s7QwwE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220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231</v>
      </c>
      <c r="C8" s="114"/>
      <c r="D8" s="114"/>
      <c r="E8" s="114"/>
      <c r="F8" s="115"/>
      <c r="G8" s="1"/>
    </row>
    <row r="9" spans="1:7" x14ac:dyDescent="0.25">
      <c r="A9" s="1"/>
      <c r="B9" s="116" t="s">
        <v>232</v>
      </c>
      <c r="C9" s="117"/>
      <c r="D9" s="118"/>
      <c r="E9" s="9">
        <v>-260402.22229648381</v>
      </c>
      <c r="F9" s="14" t="s">
        <v>3</v>
      </c>
      <c r="G9" s="1"/>
    </row>
    <row r="10" spans="1:7" x14ac:dyDescent="0.25">
      <c r="A10" s="1"/>
      <c r="B10" s="116" t="s">
        <v>233</v>
      </c>
      <c r="C10" s="117"/>
      <c r="D10" s="118"/>
      <c r="E10" s="9">
        <v>1264258.7754487619</v>
      </c>
      <c r="F10" s="14" t="s">
        <v>3</v>
      </c>
      <c r="G10" s="1"/>
    </row>
    <row r="11" spans="1:7" x14ac:dyDescent="0.25">
      <c r="A11" s="1"/>
      <c r="B11" s="116" t="s">
        <v>234</v>
      </c>
      <c r="C11" s="117"/>
      <c r="D11" s="118"/>
      <c r="E11" s="9">
        <v>-1493105.5910210535</v>
      </c>
      <c r="F11" s="14" t="s">
        <v>3</v>
      </c>
      <c r="G11" s="1"/>
    </row>
    <row r="12" spans="1:7" x14ac:dyDescent="0.25">
      <c r="A12" s="1"/>
      <c r="B12" s="116" t="s">
        <v>235</v>
      </c>
      <c r="C12" s="117"/>
      <c r="D12" s="118"/>
      <c r="E12" s="9">
        <f>IF(OR(AND(E10&gt;0,E11&lt;0),AND(E11&lt;0,E34&gt;0)),E17+E18,E11)</f>
        <v>-489249.44684772193</v>
      </c>
      <c r="F12" s="14" t="s">
        <v>3</v>
      </c>
      <c r="G12" s="1"/>
    </row>
    <row r="13" spans="1:7" x14ac:dyDescent="0.25">
      <c r="A13" s="1"/>
      <c r="B13" s="59"/>
      <c r="C13" s="60"/>
      <c r="D13" s="60"/>
      <c r="E13" s="60"/>
      <c r="F13" s="20"/>
      <c r="G13" s="1"/>
    </row>
    <row r="14" spans="1:7" ht="54.75" customHeight="1" x14ac:dyDescent="0.25">
      <c r="A14" s="1"/>
      <c r="B14" s="102" t="s">
        <v>236</v>
      </c>
      <c r="C14" s="103"/>
      <c r="D14" s="103"/>
      <c r="E14" s="103"/>
      <c r="F14" s="10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237</v>
      </c>
      <c r="C16" s="114"/>
      <c r="D16" s="114"/>
      <c r="E16" s="114"/>
      <c r="F16" s="115"/>
      <c r="G16" s="1"/>
    </row>
    <row r="17" spans="1:7" x14ac:dyDescent="0.25">
      <c r="A17" s="1"/>
      <c r="B17" s="116" t="s">
        <v>238</v>
      </c>
      <c r="C17" s="117"/>
      <c r="D17" s="118"/>
      <c r="E17" s="9">
        <v>-244624.72342386097</v>
      </c>
      <c r="F17" s="14" t="s">
        <v>3</v>
      </c>
      <c r="G17" s="1"/>
    </row>
    <row r="18" spans="1:7" x14ac:dyDescent="0.25">
      <c r="A18" s="1"/>
      <c r="B18" s="116" t="s">
        <v>239</v>
      </c>
      <c r="C18" s="117"/>
      <c r="D18" s="118"/>
      <c r="E18" s="9">
        <v>-244624.72342386097</v>
      </c>
      <c r="F18" s="14" t="s">
        <v>3</v>
      </c>
      <c r="G18" s="1"/>
    </row>
    <row r="19" spans="1:7" x14ac:dyDescent="0.25">
      <c r="A19" s="1"/>
      <c r="B19" s="59"/>
      <c r="C19" s="60"/>
      <c r="D19" s="60"/>
      <c r="E19" s="60"/>
      <c r="F19" s="20"/>
      <c r="G19" s="1"/>
    </row>
    <row r="20" spans="1:7" ht="30" customHeight="1" x14ac:dyDescent="0.25">
      <c r="A20" s="1"/>
      <c r="B20" s="102" t="s">
        <v>240</v>
      </c>
      <c r="C20" s="103"/>
      <c r="D20" s="103"/>
      <c r="E20" s="103"/>
      <c r="F20" s="10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1" t="s">
        <v>206</v>
      </c>
      <c r="C22" s="62"/>
      <c r="D22" s="62"/>
      <c r="E22" s="62"/>
      <c r="F22" s="63"/>
      <c r="G22" s="1"/>
    </row>
    <row r="23" spans="1:7" x14ac:dyDescent="0.25">
      <c r="A23" s="1"/>
      <c r="B23" s="64" t="s">
        <v>207</v>
      </c>
      <c r="C23" s="65"/>
      <c r="D23" s="66"/>
      <c r="E23" s="9">
        <v>43425980.647908665</v>
      </c>
      <c r="F23" s="14" t="s">
        <v>3</v>
      </c>
      <c r="G23" s="1"/>
    </row>
    <row r="24" spans="1:7" x14ac:dyDescent="0.25">
      <c r="A24" s="1"/>
      <c r="B24" s="64" t="s">
        <v>208</v>
      </c>
      <c r="C24" s="65"/>
      <c r="D24" s="66"/>
      <c r="E24" s="9">
        <v>41602571</v>
      </c>
      <c r="F24" s="14" t="s">
        <v>3</v>
      </c>
      <c r="G24" s="1"/>
    </row>
    <row r="25" spans="1:7" x14ac:dyDescent="0.25">
      <c r="A25" s="1"/>
      <c r="B25" s="64" t="s">
        <v>34</v>
      </c>
      <c r="C25" s="65"/>
      <c r="D25" s="66"/>
      <c r="E25" s="9">
        <v>0</v>
      </c>
      <c r="F25" s="14" t="s">
        <v>3</v>
      </c>
      <c r="G25" s="1"/>
    </row>
    <row r="26" spans="1:7" x14ac:dyDescent="0.25">
      <c r="A26" s="1"/>
      <c r="B26" s="68" t="s">
        <v>248</v>
      </c>
      <c r="C26" s="69"/>
      <c r="D26" s="70"/>
      <c r="E26" s="45">
        <f>E23-(E24-E25)</f>
        <v>1823409.6479086652</v>
      </c>
      <c r="F26" s="17" t="s">
        <v>3</v>
      </c>
      <c r="G26" s="1"/>
    </row>
    <row r="27" spans="1:7" x14ac:dyDescent="0.25">
      <c r="A27" s="1"/>
      <c r="B27" s="59"/>
      <c r="C27" s="60"/>
      <c r="D27" s="60"/>
      <c r="E27" s="60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241</v>
      </c>
      <c r="C29" s="114"/>
      <c r="D29" s="114"/>
      <c r="E29" s="114"/>
      <c r="F29" s="115"/>
      <c r="G29" s="1"/>
    </row>
    <row r="30" spans="1:7" x14ac:dyDescent="0.25">
      <c r="A30" s="1"/>
      <c r="B30" s="134" t="s">
        <v>242</v>
      </c>
      <c r="C30" s="135"/>
      <c r="D30" s="136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244624.72342386097</v>
      </c>
      <c r="F30" s="17" t="s">
        <v>3</v>
      </c>
      <c r="G30" s="1"/>
    </row>
    <row r="31" spans="1:7" x14ac:dyDescent="0.25">
      <c r="A31" s="1"/>
      <c r="B31" s="113"/>
      <c r="C31" s="114"/>
      <c r="D31" s="114"/>
      <c r="E31" s="114"/>
      <c r="F31" s="115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3" t="s">
        <v>243</v>
      </c>
      <c r="C33" s="114"/>
      <c r="D33" s="114"/>
      <c r="E33" s="114"/>
      <c r="F33" s="115"/>
      <c r="G33" s="1"/>
    </row>
    <row r="34" spans="1:7" x14ac:dyDescent="0.25">
      <c r="A34" s="1"/>
      <c r="B34" s="138" t="s">
        <v>249</v>
      </c>
      <c r="C34" s="139"/>
      <c r="D34" s="140"/>
      <c r="E34" s="9">
        <v>0</v>
      </c>
      <c r="F34" s="14"/>
      <c r="G34" s="1"/>
    </row>
    <row r="35" spans="1:7" x14ac:dyDescent="0.25">
      <c r="A35" s="1"/>
      <c r="B35" s="138" t="s">
        <v>161</v>
      </c>
      <c r="C35" s="139"/>
      <c r="D35" s="140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8" t="s">
        <v>110</v>
      </c>
      <c r="C36" s="139"/>
      <c r="D36" s="140"/>
      <c r="E36" s="9">
        <v>4</v>
      </c>
      <c r="F36" s="14" t="s">
        <v>19</v>
      </c>
      <c r="G36" s="1"/>
    </row>
    <row r="37" spans="1:7" x14ac:dyDescent="0.25">
      <c r="A37" s="1"/>
      <c r="B37" s="137" t="s">
        <v>160</v>
      </c>
      <c r="C37" s="137"/>
      <c r="D37" s="137"/>
      <c r="E37" s="10">
        <f>E35/E36</f>
        <v>0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102" t="s">
        <v>247</v>
      </c>
      <c r="C39" s="103"/>
      <c r="D39" s="103"/>
      <c r="E39" s="103"/>
      <c r="F39" s="10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tHAV24OX9XurN7bNTwlo6DzB94Y1EpdNhkHg6qktTMygr1nhklzgA3+PWiUwP5rOtkONXmcdC6/HWnCF/SEig==" saltValue="ZVE6xCeypLRtBRcGjVXc5g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157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47" t="s">
        <v>250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158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+DJ2+lhDM8kYgbNxfin1aTRFctqEvri/rtSO1CNhlF9Vn+x2MO+tecpXdTxkfak/S3a4jjO/VFDsYOAXX0TAg==" saltValue="SOGoQWeNdM3DwPBwilIVm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84</v>
      </c>
      <c r="C8" s="60"/>
      <c r="D8" s="60"/>
      <c r="E8" s="60"/>
      <c r="F8" s="20"/>
      <c r="G8" s="1"/>
    </row>
    <row r="9" spans="1:7" ht="17.25" customHeight="1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9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9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q1BkS/EY0k2EXaU/FSlVvPIleLNAtPG8KCaC/jh74QFK2ieo0zfB6dH3NNiQh0d7NPdfyywCTJsHu5e63umjw==" saltValue="kkxl322RbFuWpNQKQdFTA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102</v>
      </c>
      <c r="C8" s="114"/>
      <c r="D8" s="114"/>
      <c r="E8" s="114"/>
      <c r="F8" s="115"/>
      <c r="G8" s="1"/>
    </row>
    <row r="9" spans="1:7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9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103</v>
      </c>
      <c r="C16" s="114"/>
      <c r="D16" s="114"/>
      <c r="E16" s="114"/>
      <c r="F16" s="115"/>
      <c r="G16" s="1"/>
    </row>
    <row r="17" spans="1:7" x14ac:dyDescent="0.25">
      <c r="A17" s="1"/>
      <c r="B17" s="57" t="s">
        <v>16</v>
      </c>
      <c r="C17" s="57" t="s">
        <v>11</v>
      </c>
      <c r="D17" s="58"/>
      <c r="E17" s="57" t="s">
        <v>32</v>
      </c>
      <c r="F17" s="53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9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9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138</v>
      </c>
      <c r="C24" s="114"/>
      <c r="D24" s="114"/>
      <c r="E24" s="114"/>
      <c r="F24" s="115"/>
      <c r="G24" s="1"/>
    </row>
    <row r="25" spans="1:7" x14ac:dyDescent="0.25">
      <c r="A25" s="1"/>
      <c r="B25" s="57" t="s">
        <v>16</v>
      </c>
      <c r="C25" s="57" t="s">
        <v>11</v>
      </c>
      <c r="D25" s="58"/>
      <c r="E25" s="57" t="s">
        <v>32</v>
      </c>
      <c r="F25" s="53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9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9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211</v>
      </c>
      <c r="C32" s="114"/>
      <c r="D32" s="114"/>
      <c r="E32" s="114"/>
      <c r="F32" s="115"/>
      <c r="G32" s="1"/>
    </row>
    <row r="33" spans="1:7" x14ac:dyDescent="0.25">
      <c r="A33" s="1"/>
      <c r="B33" s="57" t="s">
        <v>16</v>
      </c>
      <c r="C33" s="57" t="s">
        <v>11</v>
      </c>
      <c r="D33" s="58"/>
      <c r="E33" s="57" t="s">
        <v>32</v>
      </c>
      <c r="F33" s="53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9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9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Zyvzd1W8PwEdkkukG9e6J3B3svKQhqunF3OAt5OFNAQekRRrb4nmu8z7TvhfJsulHWv3i1IpzsUG5a0M/9JMw==" saltValue="mXcBrtU0oOhDIGzl3tCaY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166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130</v>
      </c>
      <c r="C8" s="114"/>
      <c r="D8" s="114"/>
      <c r="E8" s="114"/>
      <c r="F8" s="115"/>
      <c r="G8" s="1"/>
    </row>
    <row r="9" spans="1:7" ht="15" customHeight="1" x14ac:dyDescent="0.25">
      <c r="A9" s="1"/>
      <c r="B9" s="52" t="s">
        <v>131</v>
      </c>
      <c r="C9" s="108" t="s">
        <v>11</v>
      </c>
      <c r="D9" s="110"/>
      <c r="E9" s="108" t="s">
        <v>32</v>
      </c>
      <c r="F9" s="110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MBIO0DTXvV9wJ17/0/3ncPGn+6fZ6XbhLfrEGZqNtO1MSLVXs3wTDWBvTsAqjKZp/gUWhbxfObdMnjNqfalKg==" saltValue="T/tr3Mzz3A10qNIGbjm4H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165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98</v>
      </c>
      <c r="C8" s="114"/>
      <c r="D8" s="114"/>
      <c r="E8" s="114"/>
      <c r="F8" s="115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9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99</v>
      </c>
      <c r="C15" s="114"/>
      <c r="D15" s="114"/>
      <c r="E15" s="114"/>
      <c r="F15" s="115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9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9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3" t="s">
        <v>142</v>
      </c>
      <c r="C22" s="114"/>
      <c r="D22" s="114"/>
      <c r="E22" s="114"/>
      <c r="F22" s="115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9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9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214</v>
      </c>
      <c r="C29" s="114"/>
      <c r="D29" s="114"/>
      <c r="E29" s="114"/>
      <c r="F29" s="115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9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9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OnMgPD9Wv4b9zvEDQAzJf2bFiI841zCPrJeMXxg+wwWahCglgeW2LQYi6+gt1mineBfVgbu5iqvnLmUa5ZYSw==" saltValue="TqYSBUvygsabOOneH5bI3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164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20"/>
      <c r="D8" s="1"/>
    </row>
    <row r="9" spans="1:4" x14ac:dyDescent="0.25">
      <c r="A9" s="1"/>
      <c r="B9" s="67" t="s">
        <v>118</v>
      </c>
      <c r="C9" s="26">
        <v>1.2699999999999999E-2</v>
      </c>
      <c r="D9" s="1"/>
    </row>
    <row r="10" spans="1:4" x14ac:dyDescent="0.25">
      <c r="A10" s="1"/>
      <c r="B10" s="67" t="s">
        <v>22</v>
      </c>
      <c r="C10" s="26">
        <v>1.7500000000000002E-2</v>
      </c>
      <c r="D10" s="1"/>
    </row>
    <row r="11" spans="1:4" x14ac:dyDescent="0.25">
      <c r="A11" s="1"/>
      <c r="B11" s="67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9">
        <v>3.3E-3</v>
      </c>
      <c r="D14" s="1"/>
    </row>
    <row r="15" spans="1:4" x14ac:dyDescent="0.25">
      <c r="A15" s="1"/>
      <c r="B15" s="113"/>
      <c r="C15" s="11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106</v>
      </c>
      <c r="C18" s="20"/>
      <c r="D18" s="1"/>
    </row>
    <row r="19" spans="1:4" x14ac:dyDescent="0.25">
      <c r="A19" s="1"/>
      <c r="B19" s="67" t="s">
        <v>120</v>
      </c>
      <c r="C19" s="23">
        <v>9.1000000000000004E-3</v>
      </c>
      <c r="D19" s="1"/>
    </row>
    <row r="20" spans="1:4" x14ac:dyDescent="0.25">
      <c r="A20" s="1"/>
      <c r="B20" s="67" t="s">
        <v>121</v>
      </c>
      <c r="C20" s="23">
        <v>1.77E-2</v>
      </c>
      <c r="D20" s="1"/>
    </row>
    <row r="21" spans="1:4" x14ac:dyDescent="0.25">
      <c r="A21" s="1"/>
      <c r="B21" s="67" t="s">
        <v>122</v>
      </c>
      <c r="C21" s="23">
        <v>8.6999999999999994E-3</v>
      </c>
      <c r="D21" s="1"/>
    </row>
    <row r="22" spans="1:4" x14ac:dyDescent="0.25">
      <c r="A22" s="1"/>
      <c r="B22" s="67" t="s">
        <v>123</v>
      </c>
      <c r="C22" s="35">
        <v>2.8400000000000002E-2</v>
      </c>
      <c r="D22" s="1"/>
    </row>
    <row r="23" spans="1:4" x14ac:dyDescent="0.25">
      <c r="A23" s="1"/>
      <c r="B23" s="67" t="s">
        <v>146</v>
      </c>
      <c r="C23" s="35">
        <v>2.75E-2</v>
      </c>
      <c r="D23" s="1"/>
    </row>
    <row r="24" spans="1:4" x14ac:dyDescent="0.25">
      <c r="A24" s="1"/>
      <c r="B24" s="67" t="s">
        <v>217</v>
      </c>
      <c r="C24" s="35">
        <v>1.4800000000000001E-2</v>
      </c>
      <c r="D24" s="1"/>
    </row>
    <row r="25" spans="1:4" x14ac:dyDescent="0.25">
      <c r="A25" s="1"/>
      <c r="B25" s="59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9" t="s">
        <v>107</v>
      </c>
      <c r="C28" s="20"/>
      <c r="D28" s="1"/>
    </row>
    <row r="29" spans="1:4" x14ac:dyDescent="0.25">
      <c r="A29" s="1"/>
      <c r="B29" s="67" t="s">
        <v>124</v>
      </c>
      <c r="C29" s="26">
        <v>0.02</v>
      </c>
      <c r="D29" s="1"/>
    </row>
    <row r="30" spans="1:4" x14ac:dyDescent="0.25">
      <c r="A30" s="1"/>
      <c r="B30" s="59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8gGCOYctaDO4vD9B4nTAF/nXbl5uvh64+ZrJFIjzpxvIJkIjITCBkZzf8VcpYyqIBJp960l/zZQU1YcP8DtM/Q==" saltValue="mRSNcfBzYAIZGyrH01i7u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183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33449371.794344142</v>
      </c>
      <c r="D9" s="8" t="s">
        <v>3</v>
      </c>
      <c r="E9" s="1"/>
    </row>
    <row r="10" spans="1:5" x14ac:dyDescent="0.25">
      <c r="A10" s="1"/>
      <c r="B10" s="51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55965.745263786834</v>
      </c>
      <c r="D10" s="8" t="s">
        <v>3</v>
      </c>
      <c r="E10" s="1"/>
    </row>
    <row r="11" spans="1:5" x14ac:dyDescent="0.25">
      <c r="A11" s="1"/>
      <c r="B11" s="51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1248752.4333686365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408082.33589099854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-488237.20488904358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-241664.17148574902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-684134.47394373268</v>
      </c>
      <c r="D21" s="8" t="s">
        <v>3</v>
      </c>
      <c r="E21" s="1"/>
    </row>
    <row r="22" spans="1:5" ht="17.100000000000001" customHeight="1" x14ac:dyDescent="0.25">
      <c r="A22" s="1"/>
      <c r="B22" s="68" t="s">
        <v>20</v>
      </c>
      <c r="C22" s="10">
        <f>SUM(C9,C12:C21)</f>
        <v>32443418.279916618</v>
      </c>
      <c r="D22" s="11" t="s">
        <v>3</v>
      </c>
      <c r="E22" s="1"/>
    </row>
    <row r="23" spans="1:5" ht="15" customHeight="1" x14ac:dyDescent="0.25">
      <c r="A23" s="1"/>
      <c r="B23" s="59" t="s">
        <v>12</v>
      </c>
      <c r="C23" s="60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omk.'!C15</f>
        <v>9807802.4795171022</v>
      </c>
      <c r="D24" s="11" t="s">
        <v>3</v>
      </c>
      <c r="E24" s="1"/>
    </row>
    <row r="25" spans="1:5" ht="15" customHeight="1" x14ac:dyDescent="0.25">
      <c r="A25" s="1"/>
      <c r="B25" s="59" t="s">
        <v>89</v>
      </c>
      <c r="C25" s="60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8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0"/>
      <c r="D29" s="20"/>
      <c r="E29" s="1"/>
    </row>
    <row r="30" spans="1:5" x14ac:dyDescent="0.25">
      <c r="A30" s="1"/>
      <c r="B30" s="71" t="s">
        <v>162</v>
      </c>
      <c r="C30" s="10">
        <f>'Fane 7. Kontrol af ØR2020'!E30</f>
        <v>244624.72342386097</v>
      </c>
      <c r="D30" s="11" t="s">
        <v>3</v>
      </c>
      <c r="E30" s="1"/>
    </row>
    <row r="31" spans="1:5" x14ac:dyDescent="0.25">
      <c r="A31" s="1"/>
      <c r="B31" s="36" t="s">
        <v>224</v>
      </c>
      <c r="C31" s="60"/>
      <c r="D31" s="20"/>
      <c r="E31" s="1"/>
    </row>
    <row r="32" spans="1:5" x14ac:dyDescent="0.25">
      <c r="A32" s="1"/>
      <c r="B32" s="71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9" t="s">
        <v>30</v>
      </c>
      <c r="C33" s="31">
        <f>SUM(C22,C24,C28,C30,C32)</f>
        <v>42495845.482857578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SAfAaf5/j4eb3tHBqtUOsYPST5jI2u0xo1kDIwD43mLi2c/AksmewmVA0+l4GIYpFdfgwg52/u6JG2MGDTeIfQ==" saltValue="0IDEnDqjiUlHzsC05DcRm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32443418.279916618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1" t="s">
        <v>18</v>
      </c>
      <c r="C12" s="9">
        <f>SUM(C9:C11)*'Fane 12. Nøgletal'!C14</f>
        <v>107063.28032372484</v>
      </c>
      <c r="D12" s="8" t="s">
        <v>3</v>
      </c>
      <c r="E12" s="1"/>
    </row>
    <row r="13" spans="1:5" ht="15" customHeight="1" x14ac:dyDescent="0.25">
      <c r="A13" s="1"/>
      <c r="B13" s="51" t="s">
        <v>9</v>
      </c>
      <c r="C13" s="9">
        <f>-SUM(C9:C12)*'Fane 5. Individuelt eff. krav'!G10</f>
        <v>-469390.16955123097</v>
      </c>
      <c r="D13" s="8" t="s">
        <v>3</v>
      </c>
      <c r="E13" s="1"/>
    </row>
    <row r="14" spans="1:5" ht="15" customHeight="1" x14ac:dyDescent="0.25">
      <c r="A14" s="1"/>
      <c r="B14" s="51" t="s">
        <v>25</v>
      </c>
      <c r="C14" s="9">
        <f>-'Fane 4.1. Gen. krav - drift'!G44</f>
        <v>-237612.42998661898</v>
      </c>
      <c r="D14" s="8" t="s">
        <v>3</v>
      </c>
      <c r="E14" s="1"/>
    </row>
    <row r="15" spans="1:5" ht="15" customHeight="1" x14ac:dyDescent="0.25">
      <c r="A15" s="1"/>
      <c r="B15" s="51" t="s">
        <v>26</v>
      </c>
      <c r="C15" s="9">
        <f>-'Fane 4.2. Gen. krav - anlæg'!G44</f>
        <v>-359245.15455154923</v>
      </c>
      <c r="D15" s="8" t="s">
        <v>3</v>
      </c>
      <c r="E15" s="1"/>
    </row>
    <row r="16" spans="1:5" ht="15" customHeight="1" x14ac:dyDescent="0.25">
      <c r="A16" s="1"/>
      <c r="B16" s="56" t="s">
        <v>20</v>
      </c>
      <c r="C16" s="10">
        <f>SUM(C9:C15)</f>
        <v>31484233.806150943</v>
      </c>
      <c r="D16" s="11" t="s">
        <v>3</v>
      </c>
      <c r="E16" s="1"/>
    </row>
    <row r="17" spans="1:5" x14ac:dyDescent="0.25">
      <c r="A17" s="1"/>
      <c r="B17" s="59" t="s">
        <v>12</v>
      </c>
      <c r="C17" s="60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omk.'!C15*(1+'Fane 12. Nøgletal'!C14)</f>
        <v>9840168.2276995089</v>
      </c>
      <c r="D18" s="11" t="s">
        <v>3</v>
      </c>
      <c r="E18" s="1"/>
    </row>
    <row r="19" spans="1:5" ht="15" customHeight="1" x14ac:dyDescent="0.25">
      <c r="A19" s="1"/>
      <c r="B19" s="59" t="s">
        <v>89</v>
      </c>
      <c r="C19" s="60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8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0"/>
      <c r="D23" s="20"/>
      <c r="E23" s="1"/>
    </row>
    <row r="24" spans="1:5" ht="15" customHeight="1" x14ac:dyDescent="0.25">
      <c r="A24" s="1"/>
      <c r="B24" s="71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60"/>
      <c r="D25" s="20"/>
      <c r="E25" s="1"/>
    </row>
    <row r="26" spans="1:5" x14ac:dyDescent="0.25">
      <c r="A26" s="1"/>
      <c r="B26" s="71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9" t="s">
        <v>97</v>
      </c>
      <c r="C27" s="12">
        <f>SUM(C16,C18,C22,C24,C26)</f>
        <v>41324402.033850454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oJS3ps52B4BcGhobPNGzpwTVYRbRHuvIRSStml0mWpgLhVEhM6j6i1gUzMLqFmrnETfNzl8V+yzUb9g3PTyqA==" saltValue="qdiCMx6FGLOx8jOpiNTA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31484233.806150943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103897.97156029812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-455512.7242436111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drift'!G50</f>
        <v>-233628.61998546336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43">
        <f>-'Fane 4.2. Gen. krav - anlæg'!G50</f>
        <v>-355096.28974085813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30543894.14374131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Nøgletal'!C14)^2</f>
        <v>9872640.7828509193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60"/>
      <c r="D24" s="20"/>
      <c r="E24" s="1"/>
    </row>
    <row r="25" spans="1:5" ht="15" customHeight="1" x14ac:dyDescent="0.25">
      <c r="A25" s="1"/>
      <c r="B25" s="71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186</v>
      </c>
      <c r="C26" s="12">
        <f>SUM(C15,C17,C21,C23,C25)</f>
        <v>40416534.926592231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rdT1jTCN3K/zUcgVKybFLQrQfqTOjIk8YpAG1s3M5Eo/E1pdOUhz0g0rP8MegeYxGpNbmETQ4iNEKcH8q8ZChw==" saltValue="Ehm5gil/nbe1yVpaDB9f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187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30543894.14374131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100794.85067434632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-441907.92496611213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drift'!G56</f>
        <v>-229711.60254278712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9">
        <f>-'Fane 4.2. Gen. krav - anlæg'!G56</f>
        <v>-350995.33950604737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29622074.127400707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omk.'!C15*(1+'Fane 12. Nøgletal'!C14)^3</f>
        <v>9905220.4974343274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60"/>
      <c r="D24" s="20"/>
      <c r="E24" s="1"/>
    </row>
    <row r="25" spans="1:5" x14ac:dyDescent="0.25">
      <c r="A25" s="1"/>
      <c r="B25" s="71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189</v>
      </c>
      <c r="C26" s="12">
        <f>SUM(C15,C17,C21,C23,C25)</f>
        <v>39527294.624835037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2BFj3hWzAZYjjyLL/IU0yxrJEFdVJUD5CVZXDpuESxvcX4t+2tw91vseoYJtaytQMD7IpshABE7PB1A3NjvpjA==" saltValue="dgskbXskBKRDA9tEoOAyJ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190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223</v>
      </c>
      <c r="C8" s="60"/>
      <c r="D8" s="60"/>
      <c r="E8" s="60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33125655.338110369</v>
      </c>
      <c r="F9" s="8" t="s">
        <v>3</v>
      </c>
      <c r="G9" s="1"/>
    </row>
    <row r="10" spans="1:7" ht="15" customHeight="1" x14ac:dyDescent="0.25">
      <c r="A10" s="1"/>
      <c r="B10" s="92" t="s">
        <v>40</v>
      </c>
      <c r="C10" s="93"/>
      <c r="D10" s="94"/>
      <c r="E10" s="9">
        <v>57262.178399999997</v>
      </c>
      <c r="F10" s="8" t="s">
        <v>3</v>
      </c>
      <c r="G10" s="1"/>
    </row>
    <row r="11" spans="1:7" ht="15" customHeight="1" x14ac:dyDescent="0.25">
      <c r="A11" s="1"/>
      <c r="B11" s="92" t="s">
        <v>41</v>
      </c>
      <c r="C11" s="93"/>
      <c r="D11" s="94"/>
      <c r="E11" s="9">
        <v>1287681.3642</v>
      </c>
      <c r="F11" s="8" t="s">
        <v>3</v>
      </c>
      <c r="G11" s="1"/>
    </row>
    <row r="12" spans="1:7" x14ac:dyDescent="0.25">
      <c r="A12" s="1"/>
      <c r="B12" s="92" t="s">
        <v>28</v>
      </c>
      <c r="C12" s="93"/>
      <c r="D12" s="94"/>
      <c r="E12" s="9">
        <v>0</v>
      </c>
      <c r="F12" s="8" t="s">
        <v>3</v>
      </c>
      <c r="G12" s="1"/>
    </row>
    <row r="13" spans="1:7" x14ac:dyDescent="0.25">
      <c r="A13" s="1"/>
      <c r="B13" s="92" t="s">
        <v>27</v>
      </c>
      <c r="C13" s="93"/>
      <c r="D13" s="94"/>
      <c r="E13" s="9">
        <v>0</v>
      </c>
      <c r="F13" s="8" t="s">
        <v>3</v>
      </c>
      <c r="G13" s="1"/>
    </row>
    <row r="14" spans="1:7" x14ac:dyDescent="0.25">
      <c r="A14" s="1"/>
      <c r="B14" s="92" t="s">
        <v>132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92" t="s">
        <v>133</v>
      </c>
      <c r="C15" s="93"/>
      <c r="D15" s="94"/>
      <c r="E15" s="9">
        <v>0</v>
      </c>
      <c r="F15" s="8" t="s">
        <v>3</v>
      </c>
      <c r="G15" s="1"/>
    </row>
    <row r="16" spans="1:7" x14ac:dyDescent="0.25">
      <c r="A16" s="1"/>
      <c r="B16" s="92" t="s">
        <v>18</v>
      </c>
      <c r="C16" s="93"/>
      <c r="D16" s="94"/>
      <c r="E16" s="9">
        <v>420541.30634466658</v>
      </c>
      <c r="F16" s="8" t="s">
        <v>3</v>
      </c>
      <c r="G16" s="1"/>
    </row>
    <row r="17" spans="1:7" x14ac:dyDescent="0.25">
      <c r="A17" s="1"/>
      <c r="B17" s="92" t="s">
        <v>9</v>
      </c>
      <c r="C17" s="93"/>
      <c r="D17" s="94"/>
      <c r="E17" s="9">
        <v>-503143.34606472729</v>
      </c>
      <c r="F17" s="8" t="s">
        <v>3</v>
      </c>
      <c r="G17" s="1"/>
    </row>
    <row r="18" spans="1:7" x14ac:dyDescent="0.25">
      <c r="A18" s="1"/>
      <c r="B18" s="92" t="s">
        <v>25</v>
      </c>
      <c r="C18" s="93"/>
      <c r="D18" s="94"/>
      <c r="E18" s="9">
        <v>-243623.88199249626</v>
      </c>
      <c r="F18" s="8" t="s">
        <v>3</v>
      </c>
      <c r="G18" s="1"/>
    </row>
    <row r="19" spans="1:7" x14ac:dyDescent="0.25">
      <c r="A19" s="1"/>
      <c r="B19" s="92" t="s">
        <v>26</v>
      </c>
      <c r="C19" s="93"/>
      <c r="D19" s="94"/>
      <c r="E19" s="9">
        <v>-695001.16465367528</v>
      </c>
      <c r="F19" s="8" t="s">
        <v>3</v>
      </c>
      <c r="G19" s="1"/>
    </row>
    <row r="20" spans="1:7" x14ac:dyDescent="0.25">
      <c r="A20" s="1"/>
      <c r="B20" s="105" t="s">
        <v>20</v>
      </c>
      <c r="C20" s="106"/>
      <c r="D20" s="107"/>
      <c r="E20" s="10">
        <f>SUM(E9:E19)</f>
        <v>33449371.794344142</v>
      </c>
      <c r="F20" s="11" t="s">
        <v>3</v>
      </c>
      <c r="G20" s="1"/>
    </row>
    <row r="21" spans="1:7" x14ac:dyDescent="0.25">
      <c r="A21" s="1"/>
      <c r="B21" s="59" t="s">
        <v>12</v>
      </c>
      <c r="C21" s="60"/>
      <c r="D21" s="60"/>
      <c r="E21" s="60"/>
      <c r="F21" s="20"/>
      <c r="G21" s="1"/>
    </row>
    <row r="22" spans="1:7" x14ac:dyDescent="0.25">
      <c r="A22" s="1"/>
      <c r="B22" s="95" t="s">
        <v>12</v>
      </c>
      <c r="C22" s="96"/>
      <c r="D22" s="97"/>
      <c r="E22" s="10">
        <v>10888505.78538424</v>
      </c>
      <c r="F22" s="11" t="s">
        <v>3</v>
      </c>
      <c r="G22" s="1"/>
    </row>
    <row r="23" spans="1:7" ht="15" customHeight="1" x14ac:dyDescent="0.25">
      <c r="A23" s="1"/>
      <c r="B23" s="111" t="s">
        <v>89</v>
      </c>
      <c r="C23" s="112"/>
      <c r="D23" s="112"/>
      <c r="E23" s="60"/>
      <c r="F23" s="60"/>
      <c r="G23" s="1"/>
    </row>
    <row r="24" spans="1:7" ht="14.25" customHeight="1" x14ac:dyDescent="0.25">
      <c r="A24" s="1"/>
      <c r="B24" s="102" t="s">
        <v>85</v>
      </c>
      <c r="C24" s="103"/>
      <c r="D24" s="104"/>
      <c r="E24" s="9">
        <v>231844.13245475999</v>
      </c>
      <c r="F24" s="8" t="s">
        <v>3</v>
      </c>
      <c r="G24" s="1"/>
    </row>
    <row r="25" spans="1:7" ht="14.25" customHeight="1" x14ac:dyDescent="0.25">
      <c r="A25" s="1"/>
      <c r="B25" s="102" t="s">
        <v>86</v>
      </c>
      <c r="C25" s="103"/>
      <c r="D25" s="104"/>
      <c r="E25" s="9">
        <v>0</v>
      </c>
      <c r="F25" s="8" t="s">
        <v>3</v>
      </c>
      <c r="G25" s="1"/>
    </row>
    <row r="26" spans="1:7" x14ac:dyDescent="0.25">
      <c r="A26" s="1"/>
      <c r="B26" s="108" t="s">
        <v>90</v>
      </c>
      <c r="C26" s="109"/>
      <c r="D26" s="109"/>
      <c r="E26" s="10">
        <v>223863.97033863148</v>
      </c>
      <c r="F26" s="11" t="s">
        <v>3</v>
      </c>
      <c r="G26" s="1"/>
    </row>
    <row r="27" spans="1:7" x14ac:dyDescent="0.25">
      <c r="A27" s="1"/>
      <c r="B27" s="59" t="s">
        <v>161</v>
      </c>
      <c r="C27" s="60"/>
      <c r="D27" s="60"/>
      <c r="E27" s="60"/>
      <c r="F27" s="20"/>
      <c r="G27" s="1"/>
    </row>
    <row r="28" spans="1:7" ht="15" customHeight="1" x14ac:dyDescent="0.25">
      <c r="A28" s="1"/>
      <c r="B28" s="108" t="s">
        <v>162</v>
      </c>
      <c r="C28" s="109"/>
      <c r="D28" s="110"/>
      <c r="E28" s="10">
        <v>-244624.72342386097</v>
      </c>
      <c r="F28" s="11" t="s">
        <v>3</v>
      </c>
      <c r="G28" s="1"/>
    </row>
    <row r="29" spans="1:7" ht="15" customHeight="1" x14ac:dyDescent="0.25">
      <c r="A29" s="1"/>
      <c r="B29" s="59" t="s">
        <v>244</v>
      </c>
      <c r="C29" s="60"/>
      <c r="D29" s="60"/>
      <c r="E29" s="60"/>
      <c r="F29" s="20"/>
      <c r="G29" s="1"/>
    </row>
    <row r="30" spans="1:7" ht="15" customHeight="1" x14ac:dyDescent="0.25">
      <c r="A30" s="1"/>
      <c r="B30" s="95" t="s">
        <v>245</v>
      </c>
      <c r="C30" s="96"/>
      <c r="D30" s="97"/>
      <c r="E30" s="10">
        <v>327.4126</v>
      </c>
      <c r="F30" s="11" t="s">
        <v>3</v>
      </c>
      <c r="G30" s="1"/>
    </row>
    <row r="31" spans="1:7" x14ac:dyDescent="0.25">
      <c r="A31" s="1"/>
      <c r="B31" s="59" t="s">
        <v>29</v>
      </c>
      <c r="C31" s="60"/>
      <c r="D31" s="60"/>
      <c r="E31" s="12">
        <f>SUM(E28,E26,E22,E20,E30)</f>
        <v>44317444.239243157</v>
      </c>
      <c r="F31" s="13" t="s">
        <v>3</v>
      </c>
      <c r="G31" s="1"/>
    </row>
    <row r="32" spans="1:7" ht="28.15" customHeight="1" x14ac:dyDescent="0.25">
      <c r="A32" s="1"/>
      <c r="B32" s="102" t="s">
        <v>191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ht="14.2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V/YKA88gT9990MCdueDKx82W7fTYGPIdk7aTxfsfXDOTjxDLVDNbVm7IQWbxOXqw8CXkJMjTyRdlaU8UiDlBw==" saltValue="C19Jhmt0aKMqj3eAOk6zm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8" t="s">
        <v>115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113" t="s">
        <v>54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43</v>
      </c>
      <c r="C5" s="117"/>
      <c r="D5" s="117"/>
      <c r="E5" s="117"/>
      <c r="F5" s="118"/>
      <c r="G5" s="50">
        <v>12399681.308398699</v>
      </c>
      <c r="H5" s="14" t="s">
        <v>3</v>
      </c>
      <c r="I5" s="1"/>
    </row>
    <row r="6" spans="1:9" x14ac:dyDescent="0.25">
      <c r="A6" s="1"/>
      <c r="B6" s="116" t="s">
        <v>44</v>
      </c>
      <c r="C6" s="117"/>
      <c r="D6" s="117"/>
      <c r="E6" s="117"/>
      <c r="F6" s="118"/>
      <c r="G6" s="24">
        <f>G5*'Fane 12. Nøgletal'!C29</f>
        <v>247993.626167974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55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45</v>
      </c>
      <c r="C10" s="117"/>
      <c r="D10" s="117"/>
      <c r="E10" s="117"/>
      <c r="F10" s="118"/>
      <c r="G10" s="24">
        <f>(G5-G6)*(1+'Fane 12. Nøgletal'!C9)</f>
        <v>12306014.115795055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6" t="s">
        <v>47</v>
      </c>
      <c r="C12" s="117"/>
      <c r="D12" s="117"/>
      <c r="E12" s="117"/>
      <c r="F12" s="118"/>
      <c r="G12" s="24">
        <f>(G10+G11)*'Fane 12. Nøgletal'!C29</f>
        <v>246120.2823159011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56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48</v>
      </c>
      <c r="C16" s="117"/>
      <c r="D16" s="117"/>
      <c r="E16" s="117"/>
      <c r="F16" s="118"/>
      <c r="G16" s="24">
        <f>(G10+G11-G12)*(1+'Fane 12. Nøgletal'!C11)</f>
        <v>12263706.039264951</v>
      </c>
      <c r="H16" s="14" t="s">
        <v>3</v>
      </c>
      <c r="I16" s="1"/>
    </row>
    <row r="17" spans="1:9" x14ac:dyDescent="0.25">
      <c r="A17" s="1"/>
      <c r="B17" s="116" t="s">
        <v>125</v>
      </c>
      <c r="C17" s="117"/>
      <c r="D17" s="117"/>
      <c r="E17" s="117"/>
      <c r="F17" s="118"/>
      <c r="G17" s="42">
        <v>0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6" t="s">
        <v>50</v>
      </c>
      <c r="C19" s="117"/>
      <c r="D19" s="117"/>
      <c r="E19" s="117"/>
      <c r="F19" s="118"/>
      <c r="G19" s="24">
        <f>SUM(G16:G18)*'Fane 12. Nøgletal'!C29</f>
        <v>245274.12078529902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57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51</v>
      </c>
      <c r="C23" s="117"/>
      <c r="D23" s="117"/>
      <c r="E23" s="117"/>
      <c r="F23" s="118"/>
      <c r="G23" s="24">
        <f>(SUM(G16:G18)-G19)*(1+'Fane 12. Nøgletal'!C11)</f>
        <v>12221543.417901956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42">
        <v>0</v>
      </c>
      <c r="H24" s="14" t="s">
        <v>3</v>
      </c>
      <c r="I24" s="1"/>
    </row>
    <row r="25" spans="1:9" x14ac:dyDescent="0.25">
      <c r="A25" s="1"/>
      <c r="B25" s="116" t="s">
        <v>53</v>
      </c>
      <c r="C25" s="117"/>
      <c r="D25" s="117"/>
      <c r="E25" s="117"/>
      <c r="F25" s="118"/>
      <c r="G25" s="24">
        <f>(G23+G24)*'Fane 12. Nøgletal'!C29</f>
        <v>244430.86835803912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175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60</v>
      </c>
      <c r="C29" s="117"/>
      <c r="D29" s="117"/>
      <c r="E29" s="117"/>
      <c r="F29" s="118"/>
      <c r="G29" s="24">
        <f>(G23+G24-G25)*(1+'Fane 12. Nøgletal'!C13)</f>
        <v>12123233.322648352</v>
      </c>
      <c r="H29" s="14" t="s">
        <v>3</v>
      </c>
      <c r="I29" s="1"/>
    </row>
    <row r="30" spans="1:9" x14ac:dyDescent="0.25">
      <c r="A30" s="1"/>
      <c r="B30" s="116" t="s">
        <v>147</v>
      </c>
      <c r="C30" s="117"/>
      <c r="D30" s="117"/>
      <c r="E30" s="117"/>
      <c r="F30" s="118"/>
      <c r="G30" s="24">
        <f>SUM('Fane 3. Omkostninger i ØR2021'!E10,'Fane 3. Omkostninger i ØR2021'!E12,'Fane 3. Omkostninger i ØR2021'!E14)*(1+'Fane 12. Nøgletal'!C13)</f>
        <v>57960.776976479996</v>
      </c>
      <c r="H30" s="14" t="s">
        <v>3</v>
      </c>
      <c r="I30" s="1"/>
    </row>
    <row r="31" spans="1:9" x14ac:dyDescent="0.25">
      <c r="A31" s="1"/>
      <c r="B31" s="116" t="s">
        <v>159</v>
      </c>
      <c r="C31" s="117"/>
      <c r="D31" s="117"/>
      <c r="E31" s="117"/>
      <c r="F31" s="118"/>
      <c r="G31" s="24">
        <f>(G29+G30)*'Fane 12. Nøgletal'!C29</f>
        <v>243623.88199249664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176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80</v>
      </c>
      <c r="C35" s="117"/>
      <c r="D35" s="117"/>
      <c r="E35" s="117"/>
      <c r="F35" s="118"/>
      <c r="G35" s="24">
        <f>(G29+G30-G31)*(1+'Fane 12. Nøgletal'!C13)</f>
        <v>12083208.57428745</v>
      </c>
      <c r="H35" s="14" t="s">
        <v>3</v>
      </c>
      <c r="I35" s="1"/>
    </row>
    <row r="36" spans="1:9" x14ac:dyDescent="0.25">
      <c r="A36" s="1"/>
      <c r="B36" s="37" t="s">
        <v>192</v>
      </c>
      <c r="C36" s="65"/>
      <c r="D36" s="65"/>
      <c r="E36" s="65"/>
      <c r="F36" s="66"/>
      <c r="G36" s="24">
        <f>SUM('Fane 2.1. Økonomisk ramme 2022'!C10)*(1+'Fane 12. Nøgletal'!C14)</f>
        <v>56150.432223157331</v>
      </c>
      <c r="H36" s="14" t="s">
        <v>3</v>
      </c>
      <c r="I36" s="1"/>
    </row>
    <row r="37" spans="1:9" x14ac:dyDescent="0.25">
      <c r="A37" s="1"/>
      <c r="B37" s="116" t="s">
        <v>221</v>
      </c>
      <c r="C37" s="117"/>
      <c r="D37" s="117"/>
      <c r="E37" s="117"/>
      <c r="F37" s="118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6" t="s">
        <v>177</v>
      </c>
      <c r="C38" s="117"/>
      <c r="D38" s="117"/>
      <c r="E38" s="117"/>
      <c r="F38" s="118"/>
      <c r="G38" s="24">
        <f>(G35+G37)*'Fane 12. Nøgletal'!C29</f>
        <v>241664.17148574902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81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79</v>
      </c>
      <c r="C42" s="117"/>
      <c r="D42" s="117"/>
      <c r="E42" s="117"/>
      <c r="F42" s="118"/>
      <c r="G42" s="24">
        <f>(G35+G37-G38)*(1+'Fane 12. Nøgletal'!C14)</f>
        <v>11880621.499330949</v>
      </c>
      <c r="H42" s="14" t="s">
        <v>3</v>
      </c>
      <c r="I42" s="1"/>
    </row>
    <row r="43" spans="1:9" x14ac:dyDescent="0.25">
      <c r="A43" s="1"/>
      <c r="B43" s="116" t="s">
        <v>92</v>
      </c>
      <c r="C43" s="117"/>
      <c r="D43" s="117"/>
      <c r="E43" s="117"/>
      <c r="F43" s="118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6" t="s">
        <v>61</v>
      </c>
      <c r="C44" s="117"/>
      <c r="D44" s="117"/>
      <c r="E44" s="117"/>
      <c r="F44" s="118"/>
      <c r="G44" s="24">
        <f>(G42+G43)*'Fane 12. Nøgletal'!C29</f>
        <v>237612.42998661898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148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149</v>
      </c>
      <c r="C48" s="117"/>
      <c r="D48" s="117"/>
      <c r="E48" s="117"/>
      <c r="F48" s="118"/>
      <c r="G48" s="24">
        <f>(G42+G43-G44)*(1+'Fane 12. Nøgletal'!C14)</f>
        <v>11681430.999273168</v>
      </c>
      <c r="H48" s="14" t="s">
        <v>3</v>
      </c>
      <c r="I48" s="1"/>
    </row>
    <row r="49" spans="1:9" x14ac:dyDescent="0.25">
      <c r="A49" s="1"/>
      <c r="B49" s="116" t="s">
        <v>150</v>
      </c>
      <c r="C49" s="117"/>
      <c r="D49" s="117"/>
      <c r="E49" s="117"/>
      <c r="F49" s="118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6" t="s">
        <v>151</v>
      </c>
      <c r="C50" s="117"/>
      <c r="D50" s="117"/>
      <c r="E50" s="117"/>
      <c r="F50" s="118"/>
      <c r="G50" s="24">
        <f>(G48+G49)*'Fane 12. Nøgletal'!C29</f>
        <v>233628.61998546336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198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199</v>
      </c>
      <c r="C54" s="117"/>
      <c r="D54" s="117"/>
      <c r="E54" s="117"/>
      <c r="F54" s="118"/>
      <c r="G54" s="24">
        <f>(G48+G49-G50)*(1+'Fane 12. Nøgletal'!C14)</f>
        <v>11485580.127139356</v>
      </c>
      <c r="H54" s="14" t="s">
        <v>3</v>
      </c>
      <c r="I54" s="1"/>
    </row>
    <row r="55" spans="1:9" x14ac:dyDescent="0.25">
      <c r="A55" s="1"/>
      <c r="B55" s="116" t="s">
        <v>200</v>
      </c>
      <c r="C55" s="117"/>
      <c r="D55" s="117"/>
      <c r="E55" s="117"/>
      <c r="F55" s="118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6" t="s">
        <v>201</v>
      </c>
      <c r="C56" s="117"/>
      <c r="D56" s="117"/>
      <c r="E56" s="117"/>
      <c r="F56" s="118"/>
      <c r="G56" s="24">
        <f>(G54+G55)*'Fane 12. Nøgletal'!C29</f>
        <v>229711.60254278712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j3iaL+5dYSGqyEWszOSpKoGn31DrSa+PffKHOWGkb6XaW8jlmllBbSZnc8XdxfD9iPVzHOp+f+8LupOOlCmlnw==" saltValue="xsN1tUfZXVb/pWX5oH06o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3" t="s">
        <v>58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62</v>
      </c>
      <c r="C5" s="117"/>
      <c r="D5" s="117"/>
      <c r="E5" s="117"/>
      <c r="F5" s="118"/>
      <c r="G5" s="24">
        <v>22566050.143720936</v>
      </c>
      <c r="H5" s="14" t="s">
        <v>3</v>
      </c>
      <c r="I5" s="1"/>
    </row>
    <row r="6" spans="1:9" x14ac:dyDescent="0.25">
      <c r="A6" s="1"/>
      <c r="B6" s="116" t="s">
        <v>59</v>
      </c>
      <c r="C6" s="117"/>
      <c r="D6" s="117"/>
      <c r="E6" s="117"/>
      <c r="F6" s="118"/>
      <c r="G6" s="24">
        <f>G5*'Fane 12. Nøgletal'!C19</f>
        <v>205351.05630786053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63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8"/>
      <c r="G10" s="24">
        <f>(G5-G6)*(1+'Fane 12. Nøgletal'!C9)</f>
        <v>22644679.965823222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6" t="s">
        <v>66</v>
      </c>
      <c r="C12" s="117"/>
      <c r="D12" s="117"/>
      <c r="E12" s="117"/>
      <c r="F12" s="118"/>
      <c r="G12" s="24">
        <f>G10*'Fane 12. Nøgletal'!C19+G11*'Fane 12. Nøgletal'!C20</f>
        <v>206066.58768899133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67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8"/>
      <c r="G16" s="24">
        <f>(G10+G11-G12)*(1+'Fane 12. Nøgletal'!C11)</f>
        <v>22817825.9442247</v>
      </c>
      <c r="H16" s="14" t="s">
        <v>3</v>
      </c>
      <c r="I16" s="1"/>
    </row>
    <row r="17" spans="1:9" x14ac:dyDescent="0.25">
      <c r="A17" s="1"/>
      <c r="B17" s="116" t="s">
        <v>126</v>
      </c>
      <c r="C17" s="117"/>
      <c r="D17" s="117"/>
      <c r="E17" s="117"/>
      <c r="F17" s="118"/>
      <c r="G17" s="24">
        <v>405241.8224780343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339282.45455538994</v>
      </c>
      <c r="H18" s="14" t="s">
        <v>3</v>
      </c>
      <c r="I18" s="1"/>
    </row>
    <row r="19" spans="1:9" x14ac:dyDescent="0.25">
      <c r="A19" s="1"/>
      <c r="B19" s="116" t="s">
        <v>70</v>
      </c>
      <c r="C19" s="117"/>
      <c r="D19" s="117"/>
      <c r="E19" s="117"/>
      <c r="F19" s="118"/>
      <c r="G19" s="24">
        <f>(G16+G17+G18)*'Fane 12. Nøgletal'!C21</f>
        <v>204992.44692494566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71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8"/>
      <c r="G23" s="24">
        <f>(SUM(G16:G18)-G19)*(1+'Fane 12. Nøgletal'!C11)</f>
        <v>23752097.120719403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138969.59143858563</v>
      </c>
      <c r="H24" s="14" t="s">
        <v>3</v>
      </c>
      <c r="I24" s="1"/>
    </row>
    <row r="25" spans="1:9" x14ac:dyDescent="0.25">
      <c r="A25" s="1"/>
      <c r="B25" s="116" t="s">
        <v>74</v>
      </c>
      <c r="C25" s="117"/>
      <c r="D25" s="117"/>
      <c r="E25" s="117"/>
      <c r="F25" s="118"/>
      <c r="G25" s="24">
        <f>G23*'Fane 12. Nøgletal'!C21+G24*'Fane 12. Nøgletal'!C22</f>
        <v>210589.9813471146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173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75</v>
      </c>
      <c r="C29" s="117"/>
      <c r="D29" s="117"/>
      <c r="E29" s="117"/>
      <c r="F29" s="118"/>
      <c r="G29" s="24">
        <f>(G23+G24-G25)*(1+'Fane 12. Nøgletal'!C13)</f>
        <v>23969378.546926767</v>
      </c>
      <c r="H29" s="14" t="s">
        <v>3</v>
      </c>
      <c r="I29" s="1"/>
    </row>
    <row r="30" spans="1:9" x14ac:dyDescent="0.25">
      <c r="A30" s="1"/>
      <c r="B30" s="116" t="s">
        <v>152</v>
      </c>
      <c r="C30" s="117"/>
      <c r="D30" s="117"/>
      <c r="E30" s="117"/>
      <c r="F30" s="118"/>
      <c r="G30" s="24">
        <v>1303391.0768432398</v>
      </c>
      <c r="H30" s="14" t="s">
        <v>3</v>
      </c>
      <c r="I30" s="1"/>
    </row>
    <row r="31" spans="1:9" x14ac:dyDescent="0.25">
      <c r="A31" s="1"/>
      <c r="B31" s="116" t="s">
        <v>174</v>
      </c>
      <c r="C31" s="117"/>
      <c r="D31" s="117"/>
      <c r="E31" s="117"/>
      <c r="F31" s="118"/>
      <c r="G31" s="24">
        <f>(G29+G30)*'Fane 12. Nøgletal'!C23</f>
        <v>695001.16465367517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178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78</v>
      </c>
      <c r="C35" s="117"/>
      <c r="D35" s="117"/>
      <c r="E35" s="117"/>
      <c r="F35" s="118"/>
      <c r="G35" s="24">
        <f>(G29+G30-G31)*(1+'Fane 12. Nøgletal'!C13)</f>
        <v>24877617.234317552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1252873.3163987531</v>
      </c>
      <c r="H36" s="14" t="s">
        <v>3</v>
      </c>
      <c r="I36" s="38"/>
    </row>
    <row r="37" spans="1:9" x14ac:dyDescent="0.25">
      <c r="A37" s="1"/>
      <c r="B37" s="116" t="s">
        <v>193</v>
      </c>
      <c r="C37" s="117"/>
      <c r="D37" s="117"/>
      <c r="E37" s="117"/>
      <c r="F37" s="118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6" t="s">
        <v>179</v>
      </c>
      <c r="C38" s="117"/>
      <c r="D38" s="117"/>
      <c r="E38" s="117"/>
      <c r="F38" s="118"/>
      <c r="G38" s="24">
        <f>G35*'Fane 12. Nøgletal'!C23+G37*'Fane 12. Nøgletal'!C24</f>
        <v>684134.47394373268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82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77</v>
      </c>
      <c r="C42" s="117"/>
      <c r="D42" s="117"/>
      <c r="E42" s="117"/>
      <c r="F42" s="118"/>
      <c r="G42" s="24">
        <f>(G35+G37-G38)*(1+'Fane 12. Nøgletal'!C14)</f>
        <v>24273321.253483057</v>
      </c>
      <c r="H42" s="14" t="s">
        <v>3</v>
      </c>
      <c r="I42" s="1"/>
    </row>
    <row r="43" spans="1:9" x14ac:dyDescent="0.25">
      <c r="A43" s="1"/>
      <c r="B43" s="116" t="s">
        <v>96</v>
      </c>
      <c r="C43" s="117"/>
      <c r="D43" s="117"/>
      <c r="E43" s="117"/>
      <c r="F43" s="118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6" t="s">
        <v>76</v>
      </c>
      <c r="C44" s="117"/>
      <c r="D44" s="117"/>
      <c r="E44" s="117"/>
      <c r="F44" s="118"/>
      <c r="G44" s="24">
        <f>(G42+G43)*'Fane 12. Nøgletal'!C24</f>
        <v>359245.15455154923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153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154</v>
      </c>
      <c r="C48" s="117"/>
      <c r="D48" s="117"/>
      <c r="E48" s="117"/>
      <c r="F48" s="118"/>
      <c r="G48" s="24">
        <f>(G42+G43-G44)*(1+'Fane 12. Nøgletal'!C14)</f>
        <v>23992992.550057981</v>
      </c>
      <c r="H48" s="14" t="s">
        <v>3</v>
      </c>
      <c r="I48" s="1"/>
    </row>
    <row r="49" spans="1:9" x14ac:dyDescent="0.25">
      <c r="A49" s="1"/>
      <c r="B49" s="116" t="s">
        <v>155</v>
      </c>
      <c r="C49" s="117"/>
      <c r="D49" s="117"/>
      <c r="E49" s="117"/>
      <c r="F49" s="118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6" t="s">
        <v>156</v>
      </c>
      <c r="C50" s="117"/>
      <c r="D50" s="117"/>
      <c r="E50" s="117"/>
      <c r="F50" s="118"/>
      <c r="G50" s="24">
        <f>(G48+G49)*'Fane 12. Nøgletal'!C24</f>
        <v>355096.28974085813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194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195</v>
      </c>
      <c r="C54" s="117"/>
      <c r="D54" s="117"/>
      <c r="E54" s="117"/>
      <c r="F54" s="118"/>
      <c r="G54" s="24">
        <f>(G48+G49-G50)*(1+'Fane 12. Nøgletal'!C14)</f>
        <v>23715901.317976173</v>
      </c>
      <c r="H54" s="14" t="s">
        <v>3</v>
      </c>
      <c r="I54" s="1"/>
    </row>
    <row r="55" spans="1:9" x14ac:dyDescent="0.25">
      <c r="A55" s="1"/>
      <c r="B55" s="116" t="s">
        <v>196</v>
      </c>
      <c r="C55" s="117"/>
      <c r="D55" s="117"/>
      <c r="E55" s="117"/>
      <c r="F55" s="118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6" t="s">
        <v>197</v>
      </c>
      <c r="C56" s="117"/>
      <c r="D56" s="117"/>
      <c r="E56" s="117"/>
      <c r="F56" s="118"/>
      <c r="G56" s="24">
        <f>(G54+G55)*'Fane 12. Nøgletal'!C24</f>
        <v>350995.33950604737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wbkRGohxbTqloanbNWr0UatvTJsq2Pl+SQFlxUN5jd2WpYxBLbpKb/IRV4LOFb9oQEApHw/joE8g7bvsjmoXFg==" saltValue="t/hfuVqRdR6iA1kMaMBodw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9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6" t="s">
        <v>105</v>
      </c>
      <c r="C9" s="117"/>
      <c r="D9" s="117"/>
      <c r="E9" s="117"/>
      <c r="F9" s="118"/>
      <c r="G9" s="44">
        <v>1.904650508088665E-2</v>
      </c>
      <c r="H9" s="14"/>
      <c r="I9" s="1"/>
    </row>
    <row r="10" spans="1:9" x14ac:dyDescent="0.25">
      <c r="A10" s="1"/>
      <c r="B10" s="116" t="s">
        <v>141</v>
      </c>
      <c r="C10" s="117"/>
      <c r="D10" s="117"/>
      <c r="E10" s="117"/>
      <c r="F10" s="118"/>
      <c r="G10" s="44">
        <v>1.4420375584383985E-2</v>
      </c>
      <c r="H10" s="14"/>
      <c r="I10" s="1"/>
    </row>
    <row r="11" spans="1:9" x14ac:dyDescent="0.25">
      <c r="A11" s="1"/>
      <c r="B11" s="59"/>
      <c r="C11" s="60"/>
      <c r="D11" s="60"/>
      <c r="E11" s="60"/>
      <c r="F11" s="60"/>
      <c r="G11" s="60"/>
      <c r="H11" s="20"/>
      <c r="I11" s="1"/>
    </row>
    <row r="12" spans="1:9" ht="14.25" customHeight="1" x14ac:dyDescent="0.25">
      <c r="A12" s="1"/>
      <c r="B12" s="125" t="s">
        <v>191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VhTOlu8oINdNseALjXPEYGBkuIdo4X36bxTMaX4xG5pwAW8rd6hyWZxktjSMsQGxIa+iNnvJauVtUctYV0hyA==" saltValue="bRABRxxUgNvVNG7+6g5el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2021-10-06T08:54:57Z</dcterms:modified>
</cp:coreProperties>
</file>