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erlev AS (V08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24" i="15" l="1"/>
  <c r="C15" i="19" l="1"/>
  <c r="E33" i="32" l="1"/>
  <c r="E39" i="32" s="1"/>
  <c r="E41" i="32" s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6" i="15" l="1"/>
  <c r="C30" i="2"/>
  <c r="F12" i="11"/>
  <c r="C10" i="37" s="1"/>
  <c r="C12" i="37" s="1"/>
  <c r="G12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31" i="2" s="1"/>
  <c r="C9" i="15" l="1"/>
  <c r="C12" i="15" l="1"/>
  <c r="C13" i="15" s="1"/>
  <c r="C16" i="15" s="1"/>
  <c r="C27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<sst xmlns="http://schemas.openxmlformats.org/spreadsheetml/2006/main" count="601" uniqueCount="252">
  <si>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</si>
  <si>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</si>
  <si>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</si>
  <si>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</si>
  <si>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</si>
  <si>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</si>
  <si>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</si>
  <si>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</si>
  <si>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</si>
  <si>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</si>
  <si>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</si>
  <si>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</si>
  <si>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</si>
  <si>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</si>
  <si>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</si>
  <si>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</si>
  <si>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</si>
  <si>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</si>
  <si>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</si>
  <si>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</si>
  <si>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</si>
  <si>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</si>
  <si>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</si>
  <si>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</si>
  <si>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</si>
  <si>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</si>
  <si>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</si>
  <si>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</si>
  <si>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</si>
  <si>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</si>
  <si>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</si>
  <si>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</si>
  <si>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</si>
  <si>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</si>
  <si>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</si>
  <si>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</si>
  <si>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</si>
  <si>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</si>
  <si>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</si>
  <si>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</si>
  <si>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</si>
  <si>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</si>
  <si>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</si>
  <si>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</si>
  <si>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</si>
  <si>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</si>
  <si>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</si>
  <si>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</si>
  <si>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</si>
  <si>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</si>
  <si>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</si>
  <si>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</si>
  <si>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</si>
  <si>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</si>
  <si>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</si>
  <si>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</si>
  <si>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</si>
  <si>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</si>
  <si>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</si>
  <si>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</si>
  <si>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</si>
  <si>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</si>
  <si>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</si>
  <si>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</si>
  <si>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</si>
  <si>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</si>
  <si>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</si>
  <si>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</si>
  <si>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</si>
  <si>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</si>
  <si>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</si>
  <si>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</si>
  <si>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</si>
  <si>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</si>
  <si>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</si>
  <si>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</si>
  <si>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</si>
  <si>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</si>
  <si>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</si>
  <si>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</si>
  <si>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</si>
  <si>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</si>
  <si>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</si>
  <si>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</si>
  <si>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</si>
  <si>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</si>
  <si>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</si>
  <si>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</si>
  <si>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</si>
  <si>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</si>
  <si>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</si>
  <si>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</si>
  <si>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</si>
  <si>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</si>
  <si>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</si>
  <si>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</si>
  <si>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</si>
  <si>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</si>
  <si>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</si>
  <si>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</si>
  <si>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</si>
  <si>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</si>
  <si>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</si>
  <si>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</si>
  <si>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</si>
  <si>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</si>
  <si>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</si>
  <si>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</si>
  <si>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</si>
  <si>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</si>
  <si>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</si>
  <si>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</si>
  <si>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</si>
  <si>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</si>
  <si>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</si>
  <si>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</si>
  <si>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</si>
  <si>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</si>
  <si>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</si>
  <si>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</si>
  <si>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</si>
  <si>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</si>
  <si>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</si>
  <si>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</si>
  <si>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</si>
  <si>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</si>
  <si>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</si>
  <si>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</si>
  <si>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</si>
  <si>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</si>
  <si>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</si>
  <si>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</si>
  <si>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</si>
  <si>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</si>
  <si>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</si>
  <si>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</si>
  <si>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</si>
  <si>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</si>
  <si>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</si>
  <si>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</si>
  <si>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</si>
  <si>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</si>
  <si>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</si>
  <si>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</si>
  <si>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</si>
  <si>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</si>
  <si>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</si>
  <si>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</si>
  <si>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</si>
  <si>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</si>
  <si>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</si>
  <si>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</si>
  <si>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</si>
  <si>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</si>
  <si>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</si>
  <si>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</si>
  <si>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</si>
  <si>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</si>
  <si>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</si>
  <si>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</si>
  <si>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</si>
  <si>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</si>
  <si>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</si>
  <si>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</si>
  <si>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</si>
  <si>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</si>
  <si>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</si>
  <si>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</si>
  <si>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</si>
  <si>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</si>
  <si>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</si>
  <si>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</si>
  <si>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</si>
  <si>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</si>
  <si>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</si>
  <si>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</si>
  <si>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</si>
  <si>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</si>
  <si>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</si>
  <si>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</si>
  <si>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</si>
  <si>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</si>
  <si>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</si>
  <si>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</si>
  <si>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</si>
  <si>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</si>
  <si>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</si>
  <si>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</si>
  <si>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</si>
  <si>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</si>
  <si>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</si>
  <si>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</si>
  <si>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</si>
  <si>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</si>
  <si>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</si>
  <si>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</si>
  <si>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</si>
  <si>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</si>
  <si>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</si>
  <si>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</si>
  <si>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</si>
  <si>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</si>
  <si>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</si>
  <si>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</si>
  <si>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</si>
  <si>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</si>
  <si>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</si>
  <si>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</si>
  <si>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</si>
  <si>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</si>
  <si>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</si>
  <si>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</si>
  <si>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</si>
  <si>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</si>
  <si>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</si>
  <si>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</si>
  <si>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</si>
  <si>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</si>
  <si>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</si>
  <si>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</si>
  <si>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</si>
  <si>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</si>
  <si>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</si>
  <si>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</si>
  <si>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</si>
  <si>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</si>
  <si>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</si>
  <si>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</si>
  <si>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</si>
  <si>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</si>
  <si>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</si>
  <si>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</si>
  <si>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</si>
  <si>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</si>
  <si>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</si>
  <si>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</si>
  <si>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</si>
  <si>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</si>
  <si>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</si>
  <si>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</si>
  <si>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</si>
  <si>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</si>
  <si>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</si>
  <si>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</si>
  <si>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SRO anlæg</t>
  </si>
  <si>
    <t>10</t>
  </si>
  <si>
    <t>Software</t>
  </si>
  <si>
    <t>5</t>
  </si>
  <si>
    <t>Supplerende investeringstillæg</t>
  </si>
  <si>
    <t>Yderligere opkrævningsret efter § 17, stk. 10 - 2017</t>
  </si>
  <si>
    <t>Yderligere opkrævningsret efter § 17, stk. 10 - 2018</t>
  </si>
  <si>
    <t>Effektiviseringskrav til supplerende investeringstillæg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</si>
</sst>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9300079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235</v>
      </c>
      <c r="C11" s="9">
        <v>88794</v>
      </c>
      <c r="D11" s="14" t="s">
        <v>3</v>
      </c>
      <c r="E11" s="1"/>
      <c r="F11" s="1"/>
    </row>
    <row r="12" spans="1:6" x14ac:dyDescent="0.25">
      <c r="A12" s="1"/>
      <c r="B12" s="49" t="s">
        <v>236</v>
      </c>
      <c r="C12" s="9">
        <v>6179494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33043</v>
      </c>
      <c r="D13" s="14" t="s">
        <v>3</v>
      </c>
      <c r="E13" s="1"/>
      <c r="F13" s="1"/>
    </row>
    <row r="14" spans="1:6" x14ac:dyDescent="0.25">
      <c r="A14" s="1"/>
      <c r="B14" s="49" t="s">
        <v>238</v>
      </c>
      <c r="C14" s="9">
        <v>190431</v>
      </c>
      <c r="D14" s="14" t="s">
        <v>3</v>
      </c>
      <c r="E14" s="1"/>
      <c r="F14" s="1"/>
    </row>
    <row r="15" spans="1:6" x14ac:dyDescent="0.25">
      <c r="A15" s="1"/>
      <c r="B15" s="45" t="s">
        <v>169</v>
      </c>
      <c r="C15" s="12">
        <f>SUM(C10:C14)</f>
        <v>15791841</v>
      </c>
      <c r="D15" s="13" t="s">
        <v>3</v>
      </c>
      <c r="E15" s="1"/>
      <c r="F15" s="1"/>
    </row>
    <row r="16" spans="1:6" x14ac:dyDescent="0.25">
      <c r="A16" s="1"/>
      <c r="B16" s="45" t="s">
        <v>170</v>
      </c>
      <c r="C16" s="12">
        <f>C15*(1+'Fane 12. Nøgletal'!C13)^2</f>
        <v>16179512.37801444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1419142.9470666666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-2305503.7504474521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-886360.80338078551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23983501.620671313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23273311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710190.62067131326</v>
      </c>
      <c r="F17" s="17" t="s">
        <v>3</v>
      </c>
      <c r="G17" s="1"/>
    </row>
    <row r="18" spans="1:7" x14ac:dyDescent="0.25">
      <c r="A18" s="1"/>
      <c r="B18" s="45"/>
      <c r="C18" s="46"/>
      <c r="D18" s="46"/>
      <c r="E18" s="46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27853148.833924193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26155969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1697179.8339241929</v>
      </c>
      <c r="F25" s="17" t="s">
        <v>3</v>
      </c>
      <c r="G25" s="1"/>
    </row>
    <row r="26" spans="1:7" x14ac:dyDescent="0.25">
      <c r="A26" s="1"/>
      <c r="B26" s="45"/>
      <c r="C26" s="46"/>
      <c r="D26" s="46"/>
      <c r="E26" s="46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26382000.556372076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24066967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2315033.5563720763</v>
      </c>
      <c r="F33" s="17" t="s">
        <v>3</v>
      </c>
      <c r="G33" s="1"/>
    </row>
    <row r="34" spans="1:7" x14ac:dyDescent="0.25">
      <c r="A34" s="1"/>
      <c r="B34" s="45"/>
      <c r="C34" s="46"/>
      <c r="D34" s="46"/>
      <c r="E34" s="46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249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250</v>
      </c>
      <c r="C38" s="111"/>
      <c r="D38" s="112"/>
      <c r="E38" s="9">
        <v>1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25">
      <c r="A10" s="1"/>
      <c r="B10" s="52" t="s">
        <v>244</v>
      </c>
      <c r="C10" s="53" t="s">
        <v>245</v>
      </c>
      <c r="D10" s="9">
        <v>1614115</v>
      </c>
      <c r="E10" s="9">
        <f>IFERROR(D10/C10,0)</f>
        <v>161411.5</v>
      </c>
      <c r="F10" s="9">
        <v>0</v>
      </c>
      <c r="G10" s="9">
        <v>23981</v>
      </c>
      <c r="H10" s="14" t="s">
        <v>3</v>
      </c>
      <c r="I10" s="1"/>
    </row>
    <row r="11" spans="1:9" x14ac:dyDescent="0.25">
      <c r="A11" s="1"/>
      <c r="B11" s="52" t="s">
        <v>246</v>
      </c>
      <c r="C11" s="53" t="s">
        <v>247</v>
      </c>
      <c r="D11" s="9">
        <v>26536</v>
      </c>
      <c r="E11" s="9">
        <f t="shared" ref="E11" si="0">IFERROR(D11/C11,0)</f>
        <v>5307.2</v>
      </c>
      <c r="F11" s="9">
        <v>0</v>
      </c>
      <c r="G11" s="9">
        <v>394</v>
      </c>
      <c r="H11" s="14" t="s">
        <v>3</v>
      </c>
      <c r="I11" s="1"/>
    </row>
    <row r="12" spans="1:9" x14ac:dyDescent="0.25">
      <c r="A12" s="1"/>
      <c r="B12" s="96" t="s">
        <v>198</v>
      </c>
      <c r="C12" s="97"/>
      <c r="D12" s="98"/>
      <c r="E12" s="12">
        <f>SUM(E10:E11)</f>
        <v>166718.70000000001</v>
      </c>
      <c r="F12" s="12">
        <f>SUM(F10:F11)</f>
        <v>0</v>
      </c>
      <c r="G12" s="12">
        <f>SUM(G10:G11)</f>
        <v>24375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191093.7</v>
      </c>
      <c r="F10" s="14" t="s">
        <v>3</v>
      </c>
      <c r="G10" s="1"/>
    </row>
    <row r="11" spans="1:7" x14ac:dyDescent="0.25">
      <c r="A11" s="1"/>
      <c r="B11" s="54" t="s">
        <v>241</v>
      </c>
      <c r="C11" s="22">
        <v>64481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5" t="s">
        <v>48</v>
      </c>
      <c r="C12" s="12">
        <f>SUM(C10:C11)</f>
        <v>64481</v>
      </c>
      <c r="D12" s="13" t="s">
        <v>3</v>
      </c>
      <c r="E12" s="12">
        <f>SUM(E10:E11)</f>
        <v>191093.7</v>
      </c>
      <c r="F12" s="13" t="s">
        <v>3</v>
      </c>
      <c r="G12" s="1"/>
    </row>
    <row r="13" spans="1:7" x14ac:dyDescent="0.25">
      <c r="A13" s="1"/>
      <c r="B13" s="45" t="s">
        <v>173</v>
      </c>
      <c r="C13" s="12">
        <f>C12*(1+'Fane 12. Nøgletal'!C13)</f>
        <v>65267.6682</v>
      </c>
      <c r="D13" s="13" t="s">
        <v>3</v>
      </c>
      <c r="E13" s="12">
        <f>E12*(1+'Fane 12. Nøgletal'!C13)</f>
        <v>193425.04314000002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iUkW/8adLvzyniEPyEy947K1pxgT5zLx8v06W2+rhprMEtNza6xlZJ7qYUpuqQSI5zYKYeMNcWN/sVnBBn1Lg==" saltValue="eMqdEZ/U01L0dznavF86l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UmyvO7E0dh0GQArDuOlW2NEZv9R5zm2lMDpocq0armk+JpgpFM8+iwLVkir4eurVsqvgVnBDNGUjEWwDkYUjw==" saltValue="V6aEPM5penaEziSZ11Bnu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5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5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5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10548120.229165163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65267.6682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193425.04314000002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131843.11787416297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-189732.05266384687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-136288.39946077211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-138119.15980703387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10474516.446447672</v>
      </c>
      <c r="D20" s="11" t="s">
        <v>3</v>
      </c>
      <c r="E20" s="1"/>
    </row>
    <row r="21" spans="1:5" ht="15" customHeight="1" x14ac:dyDescent="0.25">
      <c r="A21" s="1"/>
      <c r="B21" s="45" t="s">
        <v>12</v>
      </c>
      <c r="C21" s="46"/>
      <c r="D21" s="20"/>
      <c r="E21" s="1"/>
    </row>
    <row r="22" spans="1:5" ht="15" customHeight="1" x14ac:dyDescent="0.25">
      <c r="A22" s="1"/>
      <c r="B22" s="41" t="s">
        <v>12</v>
      </c>
      <c r="C22" s="10">
        <f>'Fane 6. Ikke-påvirkelige omk.'!C16</f>
        <v>16179512.37801444</v>
      </c>
      <c r="D22" s="11" t="s">
        <v>3</v>
      </c>
      <c r="E22" s="1"/>
    </row>
    <row r="23" spans="1:5" ht="15" customHeight="1" x14ac:dyDescent="0.25">
      <c r="A23" s="1"/>
      <c r="B23" s="45" t="s">
        <v>99</v>
      </c>
      <c r="C23" s="46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8" t="s">
        <v>248</v>
      </c>
      <c r="C27" s="46"/>
      <c r="D27" s="20"/>
      <c r="E27" s="1"/>
    </row>
    <row r="28" spans="1:5" x14ac:dyDescent="0.25">
      <c r="A28" s="1"/>
      <c r="B28" s="50" t="s">
        <v>248</v>
      </c>
      <c r="C28" s="10">
        <v>700000</v>
      </c>
      <c r="D28" s="11" t="s">
        <v>3</v>
      </c>
      <c r="E28" s="1"/>
    </row>
    <row r="29" spans="1:5" ht="15" customHeight="1" x14ac:dyDescent="0.25">
      <c r="A29" s="1"/>
      <c r="B29" s="38" t="s">
        <v>204</v>
      </c>
      <c r="C29" s="46"/>
      <c r="D29" s="20"/>
      <c r="E29" s="1"/>
    </row>
    <row r="30" spans="1:5" x14ac:dyDescent="0.25">
      <c r="A30" s="1"/>
      <c r="B30" s="51" t="s">
        <v>205</v>
      </c>
      <c r="C30" s="10">
        <f>'Fane 7. Kontrol af ØR2019'!E41</f>
        <v>0</v>
      </c>
      <c r="D30" s="11" t="s">
        <v>3</v>
      </c>
      <c r="E30" s="1"/>
    </row>
    <row r="31" spans="1:5" x14ac:dyDescent="0.25">
      <c r="A31" s="1"/>
      <c r="B31" s="45" t="s">
        <v>31</v>
      </c>
      <c r="C31" s="32">
        <f>SUM(C20,C22,C26,C28,C30)</f>
        <v>27354028.824462112</v>
      </c>
      <c r="D31" s="20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10474516.446447672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127789.10064666161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-183898.02034945207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-135192.09557550965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-135959.59768387099</v>
      </c>
      <c r="D15" s="8" t="s">
        <v>3</v>
      </c>
      <c r="E15" s="1"/>
    </row>
    <row r="16" spans="1:5" ht="15" customHeight="1" x14ac:dyDescent="0.25">
      <c r="A16" s="1"/>
      <c r="B16" s="40" t="s">
        <v>20</v>
      </c>
      <c r="C16" s="10">
        <f>SUM(C9:C15)</f>
        <v>10147255.833485501</v>
      </c>
      <c r="D16" s="11" t="s">
        <v>3</v>
      </c>
      <c r="E16" s="1"/>
    </row>
    <row r="17" spans="1:5" x14ac:dyDescent="0.25">
      <c r="A17" s="1"/>
      <c r="B17" s="45" t="s">
        <v>12</v>
      </c>
      <c r="C17" s="46"/>
      <c r="D17" s="20"/>
      <c r="E17" s="1"/>
    </row>
    <row r="18" spans="1:5" ht="15" customHeight="1" x14ac:dyDescent="0.25">
      <c r="A18" s="1"/>
      <c r="B18" s="41" t="s">
        <v>12</v>
      </c>
      <c r="C18" s="10">
        <f>'Fane 6. Ikke-påvirkelige omk.'!C16*(1+'Fane 12. Nøgletal'!C13)</f>
        <v>16376902.429026216</v>
      </c>
      <c r="D18" s="11" t="s">
        <v>3</v>
      </c>
      <c r="E18" s="1"/>
    </row>
    <row r="19" spans="1:5" ht="15" customHeight="1" x14ac:dyDescent="0.25">
      <c r="A19" s="1"/>
      <c r="B19" s="45" t="s">
        <v>99</v>
      </c>
      <c r="C19" s="46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8" t="s">
        <v>248</v>
      </c>
      <c r="C23" s="46"/>
      <c r="D23" s="20"/>
      <c r="E23" s="1"/>
    </row>
    <row r="24" spans="1:5" ht="15" customHeight="1" x14ac:dyDescent="0.25">
      <c r="A24" s="1"/>
      <c r="B24" s="51" t="s">
        <v>251</v>
      </c>
      <c r="C24" s="10">
        <f>-(700000-700000*(1+'Fane 12. Nøgletal'!C13)*(1-'Fane 12. Nøgletal'!C22-'Fane 5. Individuelt eff. krav'!G10))</f>
        <v>-23234.545176169602</v>
      </c>
      <c r="D24" s="11" t="s">
        <v>3</v>
      </c>
      <c r="E24" s="1"/>
    </row>
    <row r="25" spans="1:5" x14ac:dyDescent="0.25">
      <c r="A25" s="1"/>
      <c r="B25" s="38" t="s">
        <v>204</v>
      </c>
      <c r="C25" s="46"/>
      <c r="D25" s="20"/>
      <c r="E25" s="1"/>
    </row>
    <row r="26" spans="1:5" ht="15" customHeight="1" x14ac:dyDescent="0.25">
      <c r="A26" s="1"/>
      <c r="B26" s="51" t="s">
        <v>205</v>
      </c>
      <c r="C26" s="10">
        <f>'Fane 7. Kontrol af ØR2019'!E41</f>
        <v>0</v>
      </c>
      <c r="D26" s="11" t="s">
        <v>3</v>
      </c>
      <c r="E26" s="1"/>
    </row>
    <row r="27" spans="1:5" x14ac:dyDescent="0.25">
      <c r="A27" s="1"/>
      <c r="B27" s="45" t="s">
        <v>32</v>
      </c>
      <c r="C27" s="12">
        <f>SUM(C16,C18,C22,C24,C26)</f>
        <v>26500923.717335545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10147255.833485501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123796.52116852312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-178152.40152592136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-134104.61035870024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-133833.80139428482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9824961.5413751155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omk.'!C16*(1+'Fane 12. Nøgletal'!C13)^2</f>
        <v>16576700.638660336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109</v>
      </c>
      <c r="C22" s="12">
        <f>SUM(C15,C17,C21)</f>
        <v>26401662.18003545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9824961.5413751155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119864.53080477641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-172493.97494441282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-133025.87287297487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-131741.24299258451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9507564.9813699201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omk.'!C16*(1+'Fane 12. Nøgletal'!C13)^3</f>
        <v>16778936.386451993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243</v>
      </c>
      <c r="C22" s="12">
        <f>SUM(C15,C17,C21)</f>
        <v>26286501.367821913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167</v>
      </c>
      <c r="C8" s="46"/>
      <c r="D8" s="46"/>
      <c r="E8" s="46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10342930.408047536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427623.22746000002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183219.70147696533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-219075.46673969005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-136061.60029853269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-50516.040781115669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10548120.229165163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6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18835648.953236282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6"/>
      <c r="F23" s="46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-894420</v>
      </c>
      <c r="F28" s="11" t="s">
        <v>3</v>
      </c>
      <c r="G28" s="1"/>
    </row>
    <row r="29" spans="1:7" x14ac:dyDescent="0.2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-88085.091354736127</v>
      </c>
      <c r="F30" s="11" t="s">
        <v>3</v>
      </c>
      <c r="G30" s="1"/>
    </row>
    <row r="31" spans="1:7" x14ac:dyDescent="0.25">
      <c r="A31" s="1"/>
      <c r="B31" s="45" t="s">
        <v>232</v>
      </c>
      <c r="C31" s="46"/>
      <c r="D31" s="46"/>
      <c r="E31" s="46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8485.5276286247135</v>
      </c>
      <c r="F32" s="11" t="s">
        <v>3</v>
      </c>
      <c r="G32" s="1"/>
    </row>
    <row r="33" spans="1:7" x14ac:dyDescent="0.25">
      <c r="A33" s="1"/>
      <c r="B33" s="45" t="s">
        <v>24</v>
      </c>
      <c r="C33" s="46"/>
      <c r="D33" s="46"/>
      <c r="E33" s="12">
        <f>SUM(E30,E26,E28,E22,E20,E32)</f>
        <v>28409749.618675333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6912787.9186321767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138255.75837264353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6860568.7186948285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137211.37437389657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6836982.0834399546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-10432.390669574865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136530.99385540761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6803080.0149266347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136061.60029853269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6748356.039286565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66063.93375204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136288.39946077211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6759604.7787754824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135192.09557550965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6705230.5179350125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134104.61035870024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6651293.6436487436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133025.87287297487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4390570.5588816199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39954.192085822746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4405869.1946541034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40093.40967135234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4439557.3957489589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-160617.03172930793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69067.61197750998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37827.669391175303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4383022.3537876261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436047.40504096204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50516.040781115669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4826730.0734076509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195784.82866630802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138119.15980703387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4943985.3703225814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135959.59768387099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4866683.6870649029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133833.80139428482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4790590.6542758001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131741.24299258451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0.02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1.7345097208583196E-2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2020-10-29T12:21:03Z</dcterms:modified>
</cp:coreProperties>
</file>