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Køge Vand AS (V11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<sst xmlns="http://schemas.openxmlformats.org/spreadsheetml/2006/main" count="511" uniqueCount="255">
  <si>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</si>
  <si>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</si>
  <si>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</si>
  <si>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</si>
  <si>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</si>
  <si>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</si>
  <si>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</si>
  <si>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</si>
  <si>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</si>
  <si>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</si>
  <si>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</si>
  <si>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</si>
  <si>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</si>
  <si>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</si>
  <si>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</si>
  <si>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</si>
  <si>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</si>
  <si>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</si>
  <si>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</si>
  <si>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</si>
  <si>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</si>
  <si>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</si>
  <si>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</si>
  <si>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</si>
  <si>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</si>
  <si>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</si>
  <si>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</si>
  <si>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</si>
  <si>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</si>
  <si>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</si>
  <si>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</si>
  <si>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</si>
  <si>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</si>
  <si>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</si>
  <si>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</si>
  <si>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</si>
  <si>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</si>
  <si>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</si>
  <si>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</si>
  <si>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</si>
  <si>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</si>
  <si>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</si>
  <si>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</si>
  <si>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</si>
  <si>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</si>
  <si>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</si>
  <si>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</si>
  <si>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</si>
  <si>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</si>
  <si>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</si>
  <si>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</si>
  <si>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</si>
  <si>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</si>
  <si>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</si>
  <si>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</si>
  <si>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</si>
  <si>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</si>
  <si>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</si>
  <si>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</si>
  <si>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</si>
  <si>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</si>
  <si>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</si>
  <si>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</si>
  <si>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</si>
  <si>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</si>
  <si>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</si>
  <si>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</si>
  <si>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</si>
  <si>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</si>
  <si>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</si>
  <si>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</si>
  <si>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</si>
  <si>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</si>
  <si>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</si>
  <si>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</si>
  <si>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</si>
  <si>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</si>
  <si>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</si>
  <si>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</si>
  <si>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</si>
  <si>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</si>
  <si>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</si>
  <si>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</si>
  <si>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</si>
  <si>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</si>
  <si>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</si>
  <si>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</si>
  <si>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</si>
  <si>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</si>
  <si>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</si>
  <si>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</si>
  <si>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</si>
  <si>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</si>
  <si>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</si>
  <si>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</si>
  <si>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</si>
  <si>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</si>
  <si>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</si>
  <si>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</si>
  <si>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</si>
  <si>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</si>
  <si>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</si>
  <si>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</si>
  <si>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</si>
  <si>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</si>
  <si>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</si>
  <si>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</si>
  <si>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</si>
  <si>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</si>
  <si>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</si>
  <si>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</si>
  <si>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</si>
  <si>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</si>
  <si>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</si>
  <si>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</si>
  <si>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</si>
  <si>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</si>
  <si>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</si>
  <si>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</si>
  <si>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</si>
  <si>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</si>
  <si>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</si>
  <si>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</si>
  <si>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</si>
  <si>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</si>
  <si>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</si>
  <si>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</si>
  <si>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</si>
  <si>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</si>
  <si>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</si>
  <si>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</si>
  <si>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</si>
  <si>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</si>
  <si>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</si>
  <si>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</si>
  <si>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</si>
  <si>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</si>
  <si>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</si>
  <si>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</si>
  <si>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</si>
  <si>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</si>
  <si>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</si>
  <si>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</si>
  <si>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</si>
  <si>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</si>
  <si>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</si>
  <si>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</si>
  <si>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</si>
  <si>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</si>
  <si>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</si>
  <si>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</si>
  <si>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</si>
  <si>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</si>
  <si>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</si>
  <si>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</si>
  <si>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</si>
  <si>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</si>
  <si>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</si>
  <si>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</si>
  <si>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</si>
  <si>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</si>
  <si>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</si>
  <si>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</si>
  <si>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</si>
  <si>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</si>
  <si>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</si>
  <si>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</si>
  <si>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</si>
  <si>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</si>
  <si>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</si>
  <si>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</si>
  <si>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</si>
  <si>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</si>
  <si>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</si>
  <si>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</si>
  <si>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</si>
  <si>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</si>
  <si>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</si>
  <si>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</si>
  <si>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</si>
  <si>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</si>
  <si>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</si>
  <si>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</si>
  <si>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</si>
  <si>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</si>
  <si>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</si>
  <si>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</si>
  <si>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</si>
  <si>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</si>
  <si>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</si>
  <si>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</si>
  <si>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</si>
  <si>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</si>
  <si>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</si>
  <si>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</si>
  <si>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</si>
  <si>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</si>
  <si>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</si>
  <si>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</si>
  <si>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</si>
  <si>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</si>
  <si>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</si>
  <si>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</si>
  <si>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</si>
  <si>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</si>
  <si>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</si>
  <si>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</si>
  <si>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</si>
  <si>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</si>
  <si>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</si>
  <si>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</si>
  <si>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</si>
  <si>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</si>
  <si>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</si>
  <si>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</si>
  <si>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</si>
  <si>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</si>
  <si>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</si>
  <si>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</si>
  <si>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</si>
  <si>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</si>
  <si>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</si>
  <si>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</si>
  <si>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</si>
  <si>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</si>
  <si>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</si>
  <si>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</si>
  <si>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</si>
  <si>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</si>
  <si>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</si>
  <si>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</si>
  <si>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</si>
  <si>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</si>
  <si>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</si>
  <si>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Selskabsskatter</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</si>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</sst>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4" t="s">
        <v>194</v>
      </c>
      <c r="E8" s="94"/>
      <c r="F8" s="94"/>
      <c r="G8" s="9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3" t="s">
        <v>5</v>
      </c>
      <c r="E11" s="93"/>
      <c r="F11" s="93"/>
      <c r="G11" s="93"/>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204</v>
      </c>
      <c r="E14" s="90"/>
      <c r="F14" s="90"/>
      <c r="G14" s="91"/>
      <c r="H14" s="1"/>
      <c r="I14" s="1"/>
    </row>
    <row r="15" spans="1:9" x14ac:dyDescent="0.25">
      <c r="A15" s="1"/>
      <c r="B15" s="1"/>
      <c r="C15" s="6" t="s">
        <v>32</v>
      </c>
      <c r="D15" s="89" t="s">
        <v>137</v>
      </c>
      <c r="E15" s="90"/>
      <c r="F15" s="90"/>
      <c r="G15" s="91"/>
      <c r="H15" s="1"/>
      <c r="I15" s="1"/>
    </row>
    <row r="16" spans="1:9" x14ac:dyDescent="0.25">
      <c r="A16" s="1"/>
      <c r="B16" s="1"/>
      <c r="C16" s="6" t="s">
        <v>33</v>
      </c>
      <c r="D16" s="89" t="s">
        <v>162</v>
      </c>
      <c r="E16" s="90"/>
      <c r="F16" s="90"/>
      <c r="G16" s="91"/>
      <c r="H16" s="1"/>
      <c r="I16" s="1"/>
    </row>
    <row r="17" spans="1:9" x14ac:dyDescent="0.25">
      <c r="A17" s="1"/>
      <c r="B17" s="1"/>
      <c r="C17" s="6" t="s">
        <v>110</v>
      </c>
      <c r="D17" s="89" t="s">
        <v>163</v>
      </c>
      <c r="E17" s="90"/>
      <c r="F17" s="90"/>
      <c r="G17" s="91"/>
      <c r="H17" s="1"/>
      <c r="I17" s="1"/>
    </row>
    <row r="18" spans="1:9" x14ac:dyDescent="0.25">
      <c r="A18" s="1"/>
      <c r="B18" s="1"/>
      <c r="C18" s="6" t="s">
        <v>94</v>
      </c>
      <c r="D18" s="95" t="s">
        <v>86</v>
      </c>
      <c r="E18" s="96"/>
      <c r="F18" s="96"/>
      <c r="G18" s="97"/>
      <c r="H18" s="1"/>
      <c r="I18" s="1"/>
    </row>
    <row r="19" spans="1:9" x14ac:dyDescent="0.25">
      <c r="A19" s="1"/>
      <c r="B19" s="1"/>
      <c r="C19" s="6" t="s">
        <v>95</v>
      </c>
      <c r="D19" s="95" t="s">
        <v>87</v>
      </c>
      <c r="E19" s="96"/>
      <c r="F19" s="96"/>
      <c r="G19" s="97"/>
      <c r="H19" s="1"/>
      <c r="I19" s="1"/>
    </row>
    <row r="20" spans="1:9" x14ac:dyDescent="0.25">
      <c r="A20" s="1"/>
      <c r="B20" s="1"/>
      <c r="C20" s="6" t="s">
        <v>7</v>
      </c>
      <c r="D20" s="95" t="s">
        <v>9</v>
      </c>
      <c r="E20" s="96"/>
      <c r="F20" s="96"/>
      <c r="G20" s="97"/>
      <c r="H20" s="1"/>
      <c r="I20" s="1"/>
    </row>
    <row r="21" spans="1:9" x14ac:dyDescent="0.25">
      <c r="A21" s="1"/>
      <c r="B21" s="1"/>
      <c r="C21" s="6" t="s">
        <v>96</v>
      </c>
      <c r="D21" s="86" t="s">
        <v>11</v>
      </c>
      <c r="E21" s="87"/>
      <c r="F21" s="87"/>
      <c r="G21" s="88"/>
      <c r="H21" s="1"/>
      <c r="I21" s="1"/>
    </row>
    <row r="22" spans="1:9" x14ac:dyDescent="0.25">
      <c r="A22" s="1"/>
      <c r="B22" s="1"/>
      <c r="C22" s="6" t="s">
        <v>78</v>
      </c>
      <c r="D22" s="80" t="s">
        <v>164</v>
      </c>
      <c r="E22" s="81"/>
      <c r="F22" s="81"/>
      <c r="G22" s="82"/>
      <c r="H22" s="1"/>
      <c r="I22" s="1"/>
    </row>
    <row r="23" spans="1:9" x14ac:dyDescent="0.25">
      <c r="A23" s="1"/>
      <c r="B23" s="1"/>
      <c r="C23" s="6" t="s">
        <v>8</v>
      </c>
      <c r="D23" s="80" t="s">
        <v>219</v>
      </c>
      <c r="E23" s="81"/>
      <c r="F23" s="81"/>
      <c r="G23" s="82"/>
      <c r="H23" s="1"/>
      <c r="I23" s="1"/>
    </row>
    <row r="24" spans="1:9" x14ac:dyDescent="0.25">
      <c r="A24" s="1"/>
      <c r="B24" s="1"/>
      <c r="C24" s="6" t="s">
        <v>215</v>
      </c>
      <c r="D24" s="80" t="s">
        <v>205</v>
      </c>
      <c r="E24" s="81"/>
      <c r="F24" s="81"/>
      <c r="G24" s="82"/>
      <c r="H24" s="1"/>
      <c r="I24" s="1"/>
    </row>
    <row r="25" spans="1:9" x14ac:dyDescent="0.25">
      <c r="A25" s="1"/>
      <c r="B25" s="1"/>
      <c r="C25" s="6" t="s">
        <v>216</v>
      </c>
      <c r="D25" s="80" t="s">
        <v>79</v>
      </c>
      <c r="E25" s="81"/>
      <c r="F25" s="81"/>
      <c r="G25" s="82"/>
      <c r="H25" s="1"/>
      <c r="I25" s="1"/>
    </row>
    <row r="26" spans="1:9" x14ac:dyDescent="0.25">
      <c r="A26" s="1"/>
      <c r="B26" s="1"/>
      <c r="C26" s="6" t="s">
        <v>217</v>
      </c>
      <c r="D26" s="80" t="s">
        <v>80</v>
      </c>
      <c r="E26" s="81"/>
      <c r="F26" s="81"/>
      <c r="G26" s="82"/>
      <c r="H26" s="1"/>
      <c r="I26" s="1"/>
    </row>
    <row r="27" spans="1:9" x14ac:dyDescent="0.25">
      <c r="A27" s="1"/>
      <c r="B27" s="1"/>
      <c r="C27" s="6" t="s">
        <v>97</v>
      </c>
      <c r="D27" s="80" t="s">
        <v>111</v>
      </c>
      <c r="E27" s="81"/>
      <c r="F27" s="81"/>
      <c r="G27" s="82"/>
      <c r="H27" s="1"/>
      <c r="I27" s="1"/>
    </row>
    <row r="28" spans="1:9" x14ac:dyDescent="0.25">
      <c r="A28" s="1"/>
      <c r="B28" s="1"/>
      <c r="C28" s="6" t="s">
        <v>91</v>
      </c>
      <c r="D28" s="80" t="s">
        <v>34</v>
      </c>
      <c r="E28" s="81"/>
      <c r="F28" s="81"/>
      <c r="G28" s="82"/>
      <c r="H28" s="1"/>
      <c r="I28" s="1"/>
    </row>
    <row r="29" spans="1:9" x14ac:dyDescent="0.25">
      <c r="A29" s="1"/>
      <c r="B29" s="1"/>
      <c r="C29" s="6" t="s">
        <v>218</v>
      </c>
      <c r="D29" s="83" t="s">
        <v>92</v>
      </c>
      <c r="E29" s="84"/>
      <c r="F29" s="84"/>
      <c r="G29" s="8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hmnYhFlgoMVInFWrJOOV9DMub+g+zBne1HkODuOdGIKeUwovYdLaB2RG2abhB/N9D/KqQ47kVMmNLcE9gZyv3Q==" saltValue="1D/jWIu+0y/7L/B3yuBq4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1" t="s">
        <v>181</v>
      </c>
      <c r="C8" s="122"/>
      <c r="D8" s="123"/>
      <c r="E8" s="1"/>
      <c r="F8" s="1"/>
    </row>
    <row r="9" spans="1:6" ht="15" customHeight="1" x14ac:dyDescent="0.25">
      <c r="A9" s="1"/>
      <c r="B9" s="32" t="s">
        <v>30</v>
      </c>
      <c r="C9" s="11" t="s">
        <v>212</v>
      </c>
      <c r="D9" s="11"/>
      <c r="E9" s="1"/>
      <c r="F9" s="1"/>
    </row>
    <row r="10" spans="1:6" x14ac:dyDescent="0.25">
      <c r="A10" s="1"/>
      <c r="B10" s="75" t="s">
        <v>231</v>
      </c>
      <c r="C10" s="9">
        <v>11103685</v>
      </c>
      <c r="D10" s="14" t="s">
        <v>3</v>
      </c>
      <c r="E10" s="1"/>
      <c r="F10" s="1"/>
    </row>
    <row r="11" spans="1:6" x14ac:dyDescent="0.25">
      <c r="A11" s="1"/>
      <c r="B11" s="75" t="s">
        <v>232</v>
      </c>
      <c r="C11" s="9">
        <v>97060</v>
      </c>
      <c r="D11" s="14" t="s">
        <v>3</v>
      </c>
      <c r="E11" s="1"/>
      <c r="F11" s="1"/>
    </row>
    <row r="12" spans="1:6" x14ac:dyDescent="0.25">
      <c r="A12" s="1"/>
      <c r="B12" s="75" t="s">
        <v>233</v>
      </c>
      <c r="C12" s="9">
        <v>18800</v>
      </c>
      <c r="D12" s="14" t="s">
        <v>3</v>
      </c>
      <c r="E12" s="1"/>
      <c r="F12" s="1"/>
    </row>
    <row r="13" spans="1:6" x14ac:dyDescent="0.25">
      <c r="A13" s="1"/>
      <c r="B13" s="75" t="s">
        <v>234</v>
      </c>
      <c r="C13" s="9">
        <v>27369</v>
      </c>
      <c r="D13" s="14" t="s">
        <v>3</v>
      </c>
      <c r="E13" s="1"/>
      <c r="F13" s="1"/>
    </row>
    <row r="14" spans="1:6" x14ac:dyDescent="0.25">
      <c r="A14" s="1"/>
      <c r="B14" s="75" t="s">
        <v>235</v>
      </c>
      <c r="C14" s="9">
        <v>235582</v>
      </c>
      <c r="D14" s="14" t="s">
        <v>3</v>
      </c>
      <c r="E14" s="1"/>
      <c r="F14" s="1"/>
    </row>
    <row r="15" spans="1:6" x14ac:dyDescent="0.25">
      <c r="A15" s="1"/>
      <c r="B15" s="67" t="s">
        <v>182</v>
      </c>
      <c r="C15" s="12">
        <f>SUM(C10:C14)</f>
        <v>11482496</v>
      </c>
      <c r="D15" s="13" t="s">
        <v>3</v>
      </c>
      <c r="E15" s="1"/>
      <c r="F15" s="1"/>
    </row>
    <row r="16" spans="1:6" x14ac:dyDescent="0.25">
      <c r="A16" s="1"/>
      <c r="B16" s="67" t="s">
        <v>183</v>
      </c>
      <c r="C16" s="12">
        <f>C15*(1+'Fane 13. Nøgletal'!C15)^2</f>
        <v>12314602.171330562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ARvRqJr1O/vVuxe2Xdcqzdigo1yosMHjTOfq+WBtII1Q3LhR10JtUyrs0lMYwbcftDvKbggyK9rQHwcvlStAkg==" saltValue="SKaMQfvyBQKRB0YoIztsB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184</v>
      </c>
      <c r="C3" s="106"/>
      <c r="D3" s="106"/>
      <c r="E3" s="106"/>
      <c r="F3" s="106"/>
      <c r="G3" s="1"/>
    </row>
    <row r="4" spans="1:7" ht="15" customHeight="1" x14ac:dyDescent="0.25">
      <c r="A4" s="1"/>
      <c r="B4" s="106"/>
      <c r="C4" s="106"/>
      <c r="D4" s="106"/>
      <c r="E4" s="106"/>
      <c r="F4" s="106"/>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21" t="s">
        <v>155</v>
      </c>
      <c r="C8" s="122"/>
      <c r="D8" s="122"/>
      <c r="E8" s="122"/>
      <c r="F8" s="123"/>
      <c r="G8" s="1"/>
    </row>
    <row r="9" spans="1:7" x14ac:dyDescent="0.25">
      <c r="A9" s="1"/>
      <c r="B9" s="124" t="s">
        <v>156</v>
      </c>
      <c r="C9" s="125"/>
      <c r="D9" s="126"/>
      <c r="E9" s="9">
        <v>-471924</v>
      </c>
      <c r="F9" s="14" t="s">
        <v>3</v>
      </c>
      <c r="G9" s="1"/>
    </row>
    <row r="10" spans="1:7" x14ac:dyDescent="0.25">
      <c r="A10" s="1"/>
      <c r="B10" s="139" t="s">
        <v>236</v>
      </c>
      <c r="C10" s="140"/>
      <c r="D10" s="141"/>
      <c r="E10" s="9">
        <v>-471924</v>
      </c>
      <c r="F10" s="50" t="s">
        <v>3</v>
      </c>
      <c r="G10" s="1"/>
    </row>
    <row r="11" spans="1:7" x14ac:dyDescent="0.25">
      <c r="A11" s="1"/>
      <c r="B11" s="124" t="s">
        <v>185</v>
      </c>
      <c r="C11" s="125"/>
      <c r="D11" s="126"/>
      <c r="E11" s="9">
        <v>4490617.8692094386</v>
      </c>
      <c r="F11" s="14" t="s">
        <v>3</v>
      </c>
      <c r="G11" s="1"/>
    </row>
    <row r="12" spans="1:7" x14ac:dyDescent="0.25">
      <c r="A12" s="1"/>
      <c r="B12" s="67"/>
      <c r="C12" s="68"/>
      <c r="D12" s="68"/>
      <c r="E12" s="68"/>
      <c r="F12" s="19"/>
      <c r="G12" s="1"/>
    </row>
    <row r="13" spans="1:7" ht="64.900000000000006" customHeight="1" x14ac:dyDescent="0.25">
      <c r="A13" s="1"/>
      <c r="B13" s="110" t="s">
        <v>252</v>
      </c>
      <c r="C13" s="111"/>
      <c r="D13" s="111"/>
      <c r="E13" s="111"/>
      <c r="F13" s="112"/>
      <c r="G13" s="1"/>
    </row>
    <row r="14" spans="1:7" ht="27" customHeight="1" x14ac:dyDescent="0.25">
      <c r="A14" s="1"/>
      <c r="B14" s="1"/>
      <c r="C14" s="1"/>
      <c r="D14" s="1"/>
      <c r="E14" s="1"/>
      <c r="F14" s="1"/>
      <c r="G14" s="1"/>
    </row>
    <row r="15" spans="1:7" ht="28.5" customHeight="1" x14ac:dyDescent="0.25">
      <c r="A15" s="1"/>
      <c r="B15" s="121" t="s">
        <v>157</v>
      </c>
      <c r="C15" s="122"/>
      <c r="D15" s="122"/>
      <c r="E15" s="122"/>
      <c r="F15" s="123"/>
      <c r="G15" s="1"/>
    </row>
    <row r="16" spans="1:7" x14ac:dyDescent="0.25">
      <c r="A16" s="1"/>
      <c r="B16" s="124" t="s">
        <v>237</v>
      </c>
      <c r="C16" s="125"/>
      <c r="D16" s="126"/>
      <c r="E16" s="9">
        <v>0</v>
      </c>
      <c r="F16" s="14" t="s">
        <v>3</v>
      </c>
      <c r="G16" s="1"/>
    </row>
    <row r="17" spans="1:7" x14ac:dyDescent="0.25">
      <c r="A17" s="1"/>
      <c r="B17" s="124" t="s">
        <v>238</v>
      </c>
      <c r="C17" s="125"/>
      <c r="D17" s="126"/>
      <c r="E17" s="9">
        <v>0</v>
      </c>
      <c r="F17" s="14" t="s">
        <v>3</v>
      </c>
      <c r="G17" s="1"/>
    </row>
    <row r="18" spans="1:7" x14ac:dyDescent="0.25">
      <c r="A18" s="1"/>
      <c r="B18" s="67"/>
      <c r="C18" s="68"/>
      <c r="D18" s="68"/>
      <c r="E18" s="68"/>
      <c r="F18" s="19"/>
      <c r="G18" s="1"/>
    </row>
    <row r="19" spans="1:7" ht="31.5" customHeight="1" x14ac:dyDescent="0.25">
      <c r="A19" s="1"/>
      <c r="B19" s="110" t="s">
        <v>158</v>
      </c>
      <c r="C19" s="111"/>
      <c r="D19" s="111"/>
      <c r="E19" s="111"/>
      <c r="F19" s="112"/>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239</v>
      </c>
      <c r="C22" s="73"/>
      <c r="D22" s="74"/>
      <c r="E22" s="9">
        <v>31282134.346030362</v>
      </c>
      <c r="F22" s="14" t="s">
        <v>3</v>
      </c>
      <c r="G22" s="1"/>
    </row>
    <row r="23" spans="1:7" x14ac:dyDescent="0.25">
      <c r="A23" s="1"/>
      <c r="B23" s="72" t="s">
        <v>187</v>
      </c>
      <c r="C23" s="73"/>
      <c r="D23" s="74"/>
      <c r="E23" s="9">
        <v>31190516</v>
      </c>
      <c r="F23" s="14" t="s">
        <v>3</v>
      </c>
      <c r="G23" s="1"/>
    </row>
    <row r="24" spans="1:7" x14ac:dyDescent="0.25">
      <c r="A24" s="1"/>
      <c r="B24" s="72" t="s">
        <v>31</v>
      </c>
      <c r="C24" s="73"/>
      <c r="D24" s="74"/>
      <c r="E24" s="9">
        <v>0</v>
      </c>
      <c r="F24" s="14" t="s">
        <v>3</v>
      </c>
      <c r="G24" s="1"/>
    </row>
    <row r="25" spans="1:7" x14ac:dyDescent="0.25">
      <c r="A25" s="1"/>
      <c r="B25" s="47" t="s">
        <v>253</v>
      </c>
      <c r="C25" s="48"/>
      <c r="D25" s="49"/>
      <c r="E25" s="53">
        <f>E22-(E23-E24)</f>
        <v>91618.34603036195</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1" t="s">
        <v>240</v>
      </c>
      <c r="C28" s="122"/>
      <c r="D28" s="122"/>
      <c r="E28" s="122"/>
      <c r="F28" s="123"/>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N++Yz3ypHpch58PUyJd33s6LH5o8YIqD9RkZfBzhPBd+FqRkh5uQv5ebiNVOLL/2ngL/1J3quQe2yT0EUfrQw==" saltValue="bYeH5QJM4hFE+i4jj5cev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1" t="s">
        <v>227</v>
      </c>
      <c r="C8" s="122"/>
      <c r="D8" s="122"/>
      <c r="E8" s="122"/>
      <c r="F8" s="122"/>
      <c r="G8" s="122"/>
      <c r="H8" s="123"/>
      <c r="I8" s="1"/>
    </row>
    <row r="9" spans="1:9" ht="15" customHeight="1" x14ac:dyDescent="0.25">
      <c r="A9" s="1"/>
      <c r="B9" s="116" t="s">
        <v>228</v>
      </c>
      <c r="C9" s="117"/>
      <c r="D9" s="117"/>
      <c r="E9" s="117"/>
      <c r="F9" s="117"/>
      <c r="G9" s="117"/>
      <c r="H9" s="118"/>
      <c r="I9" s="1"/>
    </row>
    <row r="10" spans="1:9" x14ac:dyDescent="0.25">
      <c r="A10" s="1"/>
      <c r="B10" s="145" t="s">
        <v>244</v>
      </c>
      <c r="C10" s="146"/>
      <c r="D10" s="146"/>
      <c r="E10" s="146"/>
      <c r="F10" s="147"/>
      <c r="G10" s="52">
        <v>0</v>
      </c>
      <c r="H10" s="9" t="s">
        <v>3</v>
      </c>
      <c r="I10" s="1"/>
    </row>
    <row r="11" spans="1:9" x14ac:dyDescent="0.25">
      <c r="A11" s="1"/>
      <c r="B11" s="145" t="s">
        <v>245</v>
      </c>
      <c r="C11" s="146"/>
      <c r="D11" s="146"/>
      <c r="E11" s="146"/>
      <c r="F11" s="147"/>
      <c r="G11" s="52">
        <v>0</v>
      </c>
      <c r="H11" s="9" t="s">
        <v>3</v>
      </c>
      <c r="I11" s="1"/>
    </row>
    <row r="12" spans="1:9" x14ac:dyDescent="0.25">
      <c r="A12" s="1"/>
      <c r="B12" s="145" t="s">
        <v>246</v>
      </c>
      <c r="C12" s="146"/>
      <c r="D12" s="146"/>
      <c r="E12" s="146"/>
      <c r="F12" s="147"/>
      <c r="G12" s="9">
        <v>0</v>
      </c>
      <c r="H12" s="9" t="s">
        <v>3</v>
      </c>
      <c r="I12" s="1"/>
    </row>
    <row r="13" spans="1:9" x14ac:dyDescent="0.25">
      <c r="A13" s="1"/>
      <c r="B13" s="145" t="s">
        <v>247</v>
      </c>
      <c r="C13" s="146"/>
      <c r="D13" s="146"/>
      <c r="E13" s="146"/>
      <c r="F13" s="147"/>
      <c r="G13" s="9">
        <v>0</v>
      </c>
      <c r="H13" s="9" t="s">
        <v>3</v>
      </c>
      <c r="I13" s="1"/>
    </row>
    <row r="14" spans="1:9" x14ac:dyDescent="0.25">
      <c r="A14" s="1"/>
      <c r="B14" s="145" t="s">
        <v>248</v>
      </c>
      <c r="C14" s="146"/>
      <c r="D14" s="146"/>
      <c r="E14" s="146"/>
      <c r="F14" s="147"/>
      <c r="G14" s="9">
        <v>0</v>
      </c>
      <c r="H14" s="9" t="s">
        <v>3</v>
      </c>
      <c r="I14" s="1"/>
    </row>
    <row r="15" spans="1:9" x14ac:dyDescent="0.25">
      <c r="A15" s="1"/>
      <c r="B15" s="145" t="s">
        <v>249</v>
      </c>
      <c r="C15" s="146"/>
      <c r="D15" s="146"/>
      <c r="E15" s="146"/>
      <c r="F15" s="147"/>
      <c r="G15" s="9">
        <v>0</v>
      </c>
      <c r="H15" s="9" t="s">
        <v>3</v>
      </c>
      <c r="I15" s="1"/>
    </row>
    <row r="16" spans="1:9" x14ac:dyDescent="0.25">
      <c r="A16" s="1"/>
      <c r="B16" s="145" t="s">
        <v>250</v>
      </c>
      <c r="C16" s="146"/>
      <c r="D16" s="146"/>
      <c r="E16" s="146"/>
      <c r="F16" s="147"/>
      <c r="G16" s="9">
        <v>0</v>
      </c>
      <c r="H16" s="9" t="s">
        <v>3</v>
      </c>
      <c r="I16" s="1"/>
    </row>
    <row r="17" spans="1:9" x14ac:dyDescent="0.25">
      <c r="A17" s="1"/>
      <c r="B17" s="145" t="s">
        <v>251</v>
      </c>
      <c r="C17" s="146"/>
      <c r="D17" s="146"/>
      <c r="E17" s="146"/>
      <c r="F17" s="147"/>
      <c r="G17" s="9">
        <v>0</v>
      </c>
      <c r="H17" s="9" t="s">
        <v>3</v>
      </c>
      <c r="I17" s="1"/>
    </row>
    <row r="18" spans="1:9" x14ac:dyDescent="0.25">
      <c r="A18" s="1"/>
      <c r="B18" s="121" t="s">
        <v>229</v>
      </c>
      <c r="C18" s="122"/>
      <c r="D18" s="122"/>
      <c r="E18" s="122"/>
      <c r="F18" s="12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x7H4T99gpeyKwWg7uFXAXt5HXSjPmogVoaMrIr8UqkGRQHE59KY9lpt5Mryd1+mS4qsdLuZw39yilMEmB/66XQ==" saltValue="9gSHKCDejB6RI9Fdq6j8G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2.5703125" style="2" customWidth="1"/>
    <col min="3" max="3" width="7.28515625" style="2" customWidth="1"/>
    <col min="4" max="4" width="9.140625" style="2" customWidth="1"/>
    <col min="5" max="5" width="2.7109375" style="2" customWidth="1"/>
    <col min="6" max="6" width="9.140625" style="2" customWidth="1"/>
    <col min="7" max="7" width="2.7109375" style="2" customWidth="1"/>
    <col min="8" max="8" width="9.140625" style="2" customWidth="1"/>
    <col min="9" max="9" width="2.7109375" style="2" customWidth="1"/>
    <col min="10" max="10" width="9.1406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1" t="s">
        <v>192</v>
      </c>
      <c r="C8" s="122"/>
      <c r="D8" s="122"/>
      <c r="E8" s="122"/>
      <c r="F8" s="122"/>
      <c r="G8" s="122"/>
      <c r="H8" s="122"/>
      <c r="I8" s="122"/>
      <c r="J8" s="122"/>
      <c r="K8" s="123"/>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QdzRLq7SZJxltypja7Sfsnp0IGLkeBjfuO4OtemmInxcyjhXCnRMVD7h5ERgB3FLmfYkQKDnxFXuvTTxmoVgZA==" saltValue="7jvKckbziTikTVl5Nacyw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4"/>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425</v>
      </c>
      <c r="D11" s="14" t="s">
        <v>3</v>
      </c>
      <c r="E11" s="9">
        <v>3259</v>
      </c>
      <c r="F11" s="14" t="s">
        <v>3</v>
      </c>
      <c r="G11" s="1"/>
    </row>
    <row r="12" spans="1:7" x14ac:dyDescent="0.25">
      <c r="A12" s="1"/>
      <c r="B12" s="67" t="s">
        <v>148</v>
      </c>
      <c r="C12" s="12">
        <f>SUM(C10:C11)</f>
        <v>425</v>
      </c>
      <c r="D12" s="13" t="s">
        <v>3</v>
      </c>
      <c r="E12" s="12">
        <f>SUM(E10:E11)</f>
        <v>3259</v>
      </c>
      <c r="F12" s="13" t="s">
        <v>3</v>
      </c>
      <c r="G12" s="1"/>
    </row>
    <row r="13" spans="1:7" x14ac:dyDescent="0.25">
      <c r="A13" s="1"/>
      <c r="B13" s="67" t="s">
        <v>188</v>
      </c>
      <c r="C13" s="12">
        <f>C12*(1+'Fane 13. Nøgletal'!C15)</f>
        <v>440.13000000000005</v>
      </c>
      <c r="D13" s="13" t="s">
        <v>3</v>
      </c>
      <c r="E13" s="12">
        <f>E12*(1+'Fane 13. Nøgletal'!C15)</f>
        <v>3375.0204000000003</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elJmc+TzeBdBvoG0bflYrYnASTkvuYr97k0E05ztJFjATbGMcJBXGweXS3Rl6mMAEgHDVN4/4KTbQZD8F00t/w==" saltValue="Gf1JJ2P2V8Dt/Gp8WnKgR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1" t="s">
        <v>88</v>
      </c>
      <c r="C9" s="122"/>
      <c r="D9" s="122"/>
      <c r="E9" s="122"/>
      <c r="F9" s="123"/>
      <c r="G9" s="1"/>
    </row>
    <row r="10" spans="1:7" ht="26.25" x14ac:dyDescent="0.25">
      <c r="A10" s="1"/>
      <c r="B10" s="65" t="s">
        <v>15</v>
      </c>
      <c r="C10" s="65" t="s">
        <v>10</v>
      </c>
      <c r="D10" s="66"/>
      <c r="E10" s="65" t="s">
        <v>29</v>
      </c>
      <c r="F10" s="62"/>
      <c r="G10" s="1"/>
    </row>
    <row r="11" spans="1:7" x14ac:dyDescent="0.25">
      <c r="A11" s="1"/>
      <c r="B11" s="22" t="s">
        <v>254</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xxiXFT6nVpjeP4WNlB/GSGXJMr7ieuCtCd5AhMSGSxEJQG69KeOhQXsYKNIXtaf9UG0RPK99f/N1dD7qcYIMJQ==" saltValue="hpMkc28qQGm2nEMVXUfF4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223</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112</v>
      </c>
      <c r="C8" s="122"/>
      <c r="D8" s="122"/>
      <c r="E8" s="122"/>
      <c r="F8" s="123"/>
      <c r="G8" s="1"/>
    </row>
    <row r="9" spans="1:7" ht="15" customHeight="1" x14ac:dyDescent="0.25">
      <c r="A9" s="1"/>
      <c r="B9" s="61" t="s">
        <v>113</v>
      </c>
      <c r="C9" s="116" t="s">
        <v>10</v>
      </c>
      <c r="D9" s="118"/>
      <c r="E9" s="116" t="s">
        <v>29</v>
      </c>
      <c r="F9" s="118"/>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X2GoEPqRtq2hCz5sjQPNnZBLycDp1n4ZI76V34w+NPFCYG56Z3qiZbXAJUE4nnw4m9oTfEiyDNWAQcAnj9pkg==" saltValue="fNjy/L3ScbJM1DdF2u3Ab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224</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1" t="s">
        <v>85</v>
      </c>
      <c r="C10" s="122"/>
      <c r="D10" s="122"/>
      <c r="E10" s="122"/>
      <c r="F10" s="123"/>
      <c r="G10" s="1"/>
    </row>
    <row r="11" spans="1:7" ht="26.25" x14ac:dyDescent="0.25">
      <c r="A11" s="1"/>
      <c r="B11" s="61" t="s">
        <v>16</v>
      </c>
      <c r="C11" s="61" t="s">
        <v>10</v>
      </c>
      <c r="D11" s="62"/>
      <c r="E11" s="61" t="s">
        <v>29</v>
      </c>
      <c r="F11" s="62"/>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S/BdoM0OS2eZt/Qj6fIs43/6ez4OY79SaUF30x/HhuvIPkaQIFeRUpFjsxgsmuEMNGJmboxmL/qdSRanD6/uw==" saltValue="rfizka3iwWqtrkfspy6JR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6" t="s">
        <v>225</v>
      </c>
      <c r="C3" s="106"/>
      <c r="D3" s="1"/>
    </row>
    <row r="4" spans="1:4" ht="25.5" customHeight="1" x14ac:dyDescent="0.25">
      <c r="A4" s="1"/>
      <c r="B4" s="106"/>
      <c r="C4" s="106"/>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21"/>
      <c r="C16" s="123"/>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AKF/NjJTlBgB2KdcpE+8SkaqGtkU9ZSPBqquo4cN9tryHj54QmgazlieOn44HG+dgnP2kjmCrBJh+NWGhiMGHQ==" saltValue="iiZxbtVLje1G/QP5wGhPo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21410095.125730172</v>
      </c>
      <c r="D8" s="8" t="s">
        <v>3</v>
      </c>
      <c r="E8" s="1"/>
    </row>
    <row r="9" spans="1:5" ht="17.25" customHeight="1" x14ac:dyDescent="0.25">
      <c r="A9" s="1"/>
      <c r="B9" s="23" t="s">
        <v>35</v>
      </c>
      <c r="C9" s="7">
        <f>'Fane 10.1. Varige tillæg'!C13</f>
        <v>440.13000000000005</v>
      </c>
      <c r="D9" s="8" t="s">
        <v>3</v>
      </c>
      <c r="E9" s="1"/>
    </row>
    <row r="10" spans="1:5" ht="17.25" customHeight="1" x14ac:dyDescent="0.25">
      <c r="A10" s="1"/>
      <c r="B10" s="23" t="s">
        <v>36</v>
      </c>
      <c r="C10" s="9">
        <f>'Fane 10.1. Varige tillæg'!E13</f>
        <v>3375.0204000000003</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762335.20583023399</v>
      </c>
      <c r="D15" s="8" t="s">
        <v>3</v>
      </c>
      <c r="E15" s="1"/>
    </row>
    <row r="16" spans="1:5" ht="17.25" customHeight="1" x14ac:dyDescent="0.25">
      <c r="A16" s="1"/>
      <c r="B16" s="23" t="s">
        <v>9</v>
      </c>
      <c r="C16" s="9">
        <f>-SUM(C8,C9:C15)*'Fane 5. Individuelt eff. krav'!G9</f>
        <v>-443524.90963920811</v>
      </c>
      <c r="D16" s="8" t="s">
        <v>3</v>
      </c>
      <c r="E16" s="1"/>
    </row>
    <row r="17" spans="1:5" ht="17.25" customHeight="1" x14ac:dyDescent="0.25">
      <c r="A17" s="1"/>
      <c r="B17" s="23" t="s">
        <v>23</v>
      </c>
      <c r="C17" s="9">
        <f>-'Fane 4.1. Gen. krav - drift'!G43</f>
        <v>-200144.59055634937</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21532575.981764846</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omk.'!C16</f>
        <v>12314602.171330562</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0</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33847178.153095409</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crd/qKxisnmXhhKJFr2VPo9m3Xn4Ji3jTak0mWmIzbkJ3eetO0ID01fZqkcpAh5tknEmh+FY11b1V6fS+aPe1A==" saltValue="q7jeUV1haZj9BZ7fO96Y0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21532575.981764846</v>
      </c>
      <c r="D8" s="8" t="s">
        <v>3</v>
      </c>
      <c r="E8" s="1"/>
    </row>
    <row r="9" spans="1:5" ht="15" customHeight="1" x14ac:dyDescent="0.25">
      <c r="A9" s="1"/>
      <c r="B9" s="60" t="s">
        <v>17</v>
      </c>
      <c r="C9" s="9">
        <f>SUM(C8:C8)*'Fane 13. Nøgletal'!C15</f>
        <v>766559.70495082845</v>
      </c>
      <c r="D9" s="8" t="s">
        <v>3</v>
      </c>
      <c r="E9" s="1"/>
    </row>
    <row r="10" spans="1:5" ht="15" customHeight="1" x14ac:dyDescent="0.25">
      <c r="A10" s="1"/>
      <c r="B10" s="60" t="s">
        <v>9</v>
      </c>
      <c r="C10" s="9">
        <f>-SUM(C8:C9)*'Fane 5. Individuelt eff. krav'!G9</f>
        <v>-445982.7137343135</v>
      </c>
      <c r="D10" s="8" t="s">
        <v>3</v>
      </c>
      <c r="E10" s="1"/>
    </row>
    <row r="11" spans="1:5" ht="15" customHeight="1" x14ac:dyDescent="0.25">
      <c r="A11" s="1"/>
      <c r="B11" s="60" t="s">
        <v>23</v>
      </c>
      <c r="C11" s="9">
        <f>-'Fane 4.1. Gen. krav - drift'!G48</f>
        <v>-203124.34322055231</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21650028.629760809</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f>
        <v>12753002.008629931</v>
      </c>
      <c r="D15" s="11" t="s">
        <v>3</v>
      </c>
      <c r="E15" s="1"/>
    </row>
    <row r="16" spans="1:5" x14ac:dyDescent="0.25">
      <c r="A16" s="1"/>
      <c r="B16" s="25" t="s">
        <v>128</v>
      </c>
      <c r="C16" s="68"/>
      <c r="D16" s="19"/>
      <c r="E16" s="1"/>
    </row>
    <row r="17" spans="1:5" ht="15" customHeight="1" x14ac:dyDescent="0.25">
      <c r="A17" s="1"/>
      <c r="B17" s="76" t="s">
        <v>129</v>
      </c>
      <c r="C17" s="10">
        <f>'Fane 7. Kontrol af ØR2021'!E31</f>
        <v>0</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34403030.638390742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Am/7jE6JZsCHWzKoxby4480u7/OEuxcxyV2J1td65UUrBkh+CIARhg2Dh0d2OXFKVHp2u6YC0xrzepGCPulSXA==" saltValue="2kDwA7c+PZmOGN6VmpaIo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21650028.629760809</v>
      </c>
      <c r="D8" s="8" t="s">
        <v>3</v>
      </c>
      <c r="E8" s="1"/>
    </row>
    <row r="9" spans="1:5" ht="15" customHeight="1" x14ac:dyDescent="0.25">
      <c r="A9" s="1"/>
      <c r="B9" s="60" t="s">
        <v>17</v>
      </c>
      <c r="C9" s="9">
        <f>SUM(C8:C8)*'Fane 13. Nøgletal'!C15</f>
        <v>770741.01921948476</v>
      </c>
      <c r="D9" s="8" t="s">
        <v>3</v>
      </c>
      <c r="E9" s="1"/>
    </row>
    <row r="10" spans="1:5" ht="15" customHeight="1" x14ac:dyDescent="0.25">
      <c r="A10" s="1"/>
      <c r="B10" s="60" t="s">
        <v>9</v>
      </c>
      <c r="C10" s="9">
        <f>-SUM(C8:C9)*'Fane 5. Individuelt eff. krav'!G9</f>
        <v>-448415.39297960588</v>
      </c>
      <c r="D10" s="8" t="s">
        <v>3</v>
      </c>
      <c r="E10" s="1"/>
    </row>
    <row r="11" spans="1:5" ht="15" customHeight="1" x14ac:dyDescent="0.25">
      <c r="A11" s="1"/>
      <c r="B11" s="60" t="s">
        <v>23</v>
      </c>
      <c r="C11" s="9">
        <f>-'Fane 4.1. Gen. krav - drift'!G53</f>
        <v>-206148.45844241991</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21766205.797558267</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Nøgletal'!C15)^2</f>
        <v>13207008.880137157</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34973214.677695423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mUMDGprPK9s9NLc7EXY7w5mOsEbiI7yCCZ4LxtAvxRt+oeQDkBbAkXKMSFpHce63IQGvbqVDuSNVeMLgJ6wA==" saltValue="gTNdkf+lK8bPtHun29yJE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21766205.797558267</v>
      </c>
      <c r="D8" s="8" t="s">
        <v>3</v>
      </c>
      <c r="E8" s="1"/>
    </row>
    <row r="9" spans="1:5" ht="15" customHeight="1" x14ac:dyDescent="0.25">
      <c r="A9" s="1"/>
      <c r="B9" s="60" t="s">
        <v>17</v>
      </c>
      <c r="C9" s="9">
        <f>SUM(C8:C8)*'Fane 13. Nøgletal'!C15</f>
        <v>774876.92639307433</v>
      </c>
      <c r="D9" s="8" t="s">
        <v>3</v>
      </c>
      <c r="E9" s="1"/>
    </row>
    <row r="10" spans="1:5" ht="15" customHeight="1" x14ac:dyDescent="0.25">
      <c r="A10" s="1"/>
      <c r="B10" s="60" t="s">
        <v>9</v>
      </c>
      <c r="C10" s="9">
        <f>-SUM(C8:C9)*'Fane 5. Individuelt eff. krav'!G9</f>
        <v>-450821.65447902679</v>
      </c>
      <c r="D10" s="8" t="s">
        <v>3</v>
      </c>
      <c r="E10" s="1"/>
    </row>
    <row r="11" spans="1:5" ht="15" customHeight="1" x14ac:dyDescent="0.25">
      <c r="A11" s="1"/>
      <c r="B11" s="60" t="s">
        <v>23</v>
      </c>
      <c r="C11" s="9">
        <f>-'Fane 4.1. Gen. krav - drift'!G58</f>
        <v>-209217.5966917107</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21881043.472780604</v>
      </c>
      <c r="D13" s="11" t="s">
        <v>3</v>
      </c>
      <c r="E13" s="1"/>
    </row>
    <row r="14" spans="1:5" x14ac:dyDescent="0.25">
      <c r="A14" s="1"/>
      <c r="B14" s="67" t="s">
        <v>11</v>
      </c>
      <c r="C14" s="68"/>
      <c r="D14" s="19"/>
      <c r="E14" s="1"/>
    </row>
    <row r="15" spans="1:5" ht="15" customHeight="1" x14ac:dyDescent="0.25">
      <c r="A15" s="1"/>
      <c r="B15" s="61" t="s">
        <v>11</v>
      </c>
      <c r="C15" s="10">
        <f>'Fane 6. Ikke-påvirkelige omk.'!C16*(1+'Fane 13. Nøgletal'!C15)^3</f>
        <v>13677178.39627004</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35558221.869050644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Gxv6jO9UizjfdaN4amsSZN0fD2YL56pTIPLof5sYWcxv70QpJBBO9NJVpSfhM5k4InFuof5/59PDQG2v8ff/LQ==" saltValue="VegPIxe5w4pE9jWenbKFF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171</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7" t="s">
        <v>22</v>
      </c>
      <c r="C9" s="108"/>
      <c r="D9" s="109"/>
      <c r="E9" s="7">
        <v>20905047.609440833</v>
      </c>
      <c r="F9" s="8" t="s">
        <v>3</v>
      </c>
      <c r="G9" s="1"/>
    </row>
    <row r="10" spans="1:7" ht="15" customHeight="1" x14ac:dyDescent="0.25">
      <c r="A10" s="1"/>
      <c r="B10" s="100" t="s">
        <v>35</v>
      </c>
      <c r="C10" s="101"/>
      <c r="D10" s="102"/>
      <c r="E10" s="9">
        <v>55539.678100000005</v>
      </c>
      <c r="F10" s="8" t="s">
        <v>3</v>
      </c>
      <c r="G10" s="1"/>
    </row>
    <row r="11" spans="1:7" ht="15" customHeight="1" x14ac:dyDescent="0.25">
      <c r="A11" s="1"/>
      <c r="B11" s="100" t="s">
        <v>36</v>
      </c>
      <c r="C11" s="101"/>
      <c r="D11" s="102"/>
      <c r="E11" s="9">
        <v>1219060.6683</v>
      </c>
      <c r="F11" s="8" t="s">
        <v>3</v>
      </c>
      <c r="G11" s="1"/>
    </row>
    <row r="12" spans="1:7" x14ac:dyDescent="0.25">
      <c r="A12" s="1"/>
      <c r="B12" s="100" t="s">
        <v>26</v>
      </c>
      <c r="C12" s="101"/>
      <c r="D12" s="102"/>
      <c r="E12" s="9">
        <v>0</v>
      </c>
      <c r="F12" s="8" t="s">
        <v>3</v>
      </c>
      <c r="G12" s="1"/>
    </row>
    <row r="13" spans="1:7" x14ac:dyDescent="0.25">
      <c r="A13" s="1"/>
      <c r="B13" s="100" t="s">
        <v>25</v>
      </c>
      <c r="C13" s="101"/>
      <c r="D13" s="102"/>
      <c r="E13" s="9">
        <v>0</v>
      </c>
      <c r="F13" s="8" t="s">
        <v>3</v>
      </c>
      <c r="G13" s="1"/>
    </row>
    <row r="14" spans="1:7" x14ac:dyDescent="0.25">
      <c r="A14" s="1"/>
      <c r="B14" s="100" t="s">
        <v>114</v>
      </c>
      <c r="C14" s="101"/>
      <c r="D14" s="102"/>
      <c r="E14" s="9">
        <v>0</v>
      </c>
      <c r="F14" s="8" t="s">
        <v>3</v>
      </c>
      <c r="G14" s="1"/>
    </row>
    <row r="15" spans="1:7" x14ac:dyDescent="0.25">
      <c r="A15" s="1"/>
      <c r="B15" s="100" t="s">
        <v>115</v>
      </c>
      <c r="C15" s="101"/>
      <c r="D15" s="102"/>
      <c r="E15" s="9">
        <v>0</v>
      </c>
      <c r="F15" s="8" t="s">
        <v>3</v>
      </c>
      <c r="G15" s="1"/>
    </row>
    <row r="16" spans="1:7" x14ac:dyDescent="0.25">
      <c r="A16" s="1"/>
      <c r="B16" s="100" t="s">
        <v>17</v>
      </c>
      <c r="C16" s="101"/>
      <c r="D16" s="102"/>
      <c r="E16" s="9">
        <v>259247.76197829819</v>
      </c>
      <c r="F16" s="8" t="s">
        <v>3</v>
      </c>
      <c r="G16" s="30"/>
    </row>
    <row r="17" spans="1:7" x14ac:dyDescent="0.25">
      <c r="A17" s="1"/>
      <c r="B17" s="100" t="s">
        <v>9</v>
      </c>
      <c r="C17" s="101"/>
      <c r="D17" s="102"/>
      <c r="E17" s="9">
        <v>-448777.91435638262</v>
      </c>
      <c r="F17" s="8" t="s">
        <v>3</v>
      </c>
      <c r="G17" s="1"/>
    </row>
    <row r="18" spans="1:7" x14ac:dyDescent="0.25">
      <c r="A18" s="1"/>
      <c r="B18" s="100" t="s">
        <v>23</v>
      </c>
      <c r="C18" s="101"/>
      <c r="D18" s="102"/>
      <c r="E18" s="9">
        <v>-197199.56742398115</v>
      </c>
      <c r="F18" s="8" t="s">
        <v>3</v>
      </c>
      <c r="G18" s="1"/>
    </row>
    <row r="19" spans="1:7" x14ac:dyDescent="0.25">
      <c r="A19" s="1"/>
      <c r="B19" s="100" t="s">
        <v>24</v>
      </c>
      <c r="C19" s="101"/>
      <c r="D19" s="102"/>
      <c r="E19" s="9">
        <v>-382823.11030859669</v>
      </c>
      <c r="F19" s="8" t="s">
        <v>3</v>
      </c>
      <c r="G19" s="1"/>
    </row>
    <row r="20" spans="1:7" x14ac:dyDescent="0.25">
      <c r="A20" s="1"/>
      <c r="B20" s="113" t="s">
        <v>19</v>
      </c>
      <c r="C20" s="114"/>
      <c r="D20" s="115"/>
      <c r="E20" s="31">
        <f>SUM(E9:E19)</f>
        <v>21410095.125730172</v>
      </c>
      <c r="F20" s="33" t="s">
        <v>3</v>
      </c>
      <c r="G20" s="1"/>
    </row>
    <row r="21" spans="1:7" x14ac:dyDescent="0.25">
      <c r="A21" s="1"/>
      <c r="B21" s="67" t="s">
        <v>11</v>
      </c>
      <c r="C21" s="68"/>
      <c r="D21" s="68"/>
      <c r="E21" s="68"/>
      <c r="F21" s="19"/>
      <c r="G21" s="1"/>
    </row>
    <row r="22" spans="1:7" x14ac:dyDescent="0.25">
      <c r="A22" s="1"/>
      <c r="B22" s="103" t="s">
        <v>11</v>
      </c>
      <c r="C22" s="104"/>
      <c r="D22" s="105"/>
      <c r="E22" s="10">
        <v>10127414.523033671</v>
      </c>
      <c r="F22" s="11" t="s">
        <v>3</v>
      </c>
      <c r="G22" s="1"/>
    </row>
    <row r="23" spans="1:7" ht="15" customHeight="1" x14ac:dyDescent="0.25">
      <c r="A23" s="1"/>
      <c r="B23" s="119" t="s">
        <v>80</v>
      </c>
      <c r="C23" s="120"/>
      <c r="D23" s="120"/>
      <c r="E23" s="68"/>
      <c r="F23" s="68"/>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6" t="s">
        <v>81</v>
      </c>
      <c r="C26" s="117"/>
      <c r="D26" s="117"/>
      <c r="E26" s="10">
        <v>0</v>
      </c>
      <c r="F26" s="11" t="s">
        <v>3</v>
      </c>
      <c r="G26" s="1"/>
    </row>
    <row r="27" spans="1:7" x14ac:dyDescent="0.25">
      <c r="A27" s="1"/>
      <c r="B27" s="67" t="s">
        <v>128</v>
      </c>
      <c r="C27" s="68"/>
      <c r="D27" s="68"/>
      <c r="E27" s="68"/>
      <c r="F27" s="19"/>
      <c r="G27" s="1"/>
    </row>
    <row r="28" spans="1:7" ht="15" customHeight="1" x14ac:dyDescent="0.25">
      <c r="A28" s="1"/>
      <c r="B28" s="116" t="s">
        <v>129</v>
      </c>
      <c r="C28" s="117"/>
      <c r="D28" s="118"/>
      <c r="E28" s="10">
        <v>-810700.93414323032</v>
      </c>
      <c r="F28" s="11" t="s">
        <v>3</v>
      </c>
      <c r="G28" s="1"/>
    </row>
    <row r="29" spans="1:7" x14ac:dyDescent="0.25">
      <c r="A29" s="1"/>
      <c r="B29" s="67" t="s">
        <v>159</v>
      </c>
      <c r="C29" s="68"/>
      <c r="D29" s="68"/>
      <c r="E29" s="68"/>
      <c r="F29" s="19"/>
      <c r="G29" s="1"/>
    </row>
    <row r="30" spans="1:7" ht="15.75" customHeight="1" x14ac:dyDescent="0.25">
      <c r="A30" s="1"/>
      <c r="B30" s="103" t="s">
        <v>160</v>
      </c>
      <c r="C30" s="104"/>
      <c r="D30" s="105"/>
      <c r="E30" s="10">
        <v>0</v>
      </c>
      <c r="F30" s="11" t="s">
        <v>3</v>
      </c>
      <c r="G30" s="1"/>
    </row>
    <row r="31" spans="1:7" ht="15.75" customHeight="1" x14ac:dyDescent="0.25">
      <c r="A31" s="1"/>
      <c r="B31" s="121" t="s">
        <v>153</v>
      </c>
      <c r="C31" s="122"/>
      <c r="D31" s="122"/>
      <c r="E31" s="122"/>
      <c r="F31" s="123"/>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30726808.714620613</v>
      </c>
      <c r="F33" s="13"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OO3PuxMnQ1CW45sLJqL7FiGCSAgLYifogCObq+xqfyZ6/mVR46syc9ocPJiDaAV5zqep+TH6v+/4nowkvTU2+Q==" saltValue="J2EF1MokKVzN9k3YPpkhVw=="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6" t="s">
        <v>98</v>
      </c>
      <c r="C1" s="106"/>
      <c r="D1" s="106"/>
      <c r="E1" s="106"/>
      <c r="F1" s="106"/>
      <c r="G1" s="106"/>
      <c r="H1" s="106"/>
      <c r="I1" s="1"/>
    </row>
    <row r="2" spans="1:9" ht="15" customHeight="1" x14ac:dyDescent="0.25">
      <c r="A2" s="1"/>
      <c r="B2" s="106"/>
      <c r="C2" s="106"/>
      <c r="D2" s="106"/>
      <c r="E2" s="106"/>
      <c r="F2" s="106"/>
      <c r="G2" s="106"/>
      <c r="H2" s="106"/>
      <c r="I2" s="1"/>
    </row>
    <row r="3" spans="1:9" ht="15" customHeight="1" x14ac:dyDescent="0.25">
      <c r="A3" s="1"/>
      <c r="B3" s="106"/>
      <c r="C3" s="106"/>
      <c r="D3" s="106"/>
      <c r="E3" s="106"/>
      <c r="F3" s="106"/>
      <c r="G3" s="106"/>
      <c r="H3" s="106"/>
      <c r="I3" s="1"/>
    </row>
    <row r="4" spans="1:9" x14ac:dyDescent="0.25">
      <c r="A4" s="1"/>
      <c r="B4" s="121" t="s">
        <v>49</v>
      </c>
      <c r="C4" s="122"/>
      <c r="D4" s="122"/>
      <c r="E4" s="122"/>
      <c r="F4" s="122"/>
      <c r="G4" s="122"/>
      <c r="H4" s="123"/>
      <c r="I4" s="1"/>
    </row>
    <row r="5" spans="1:9" x14ac:dyDescent="0.25">
      <c r="A5" s="1"/>
      <c r="B5" s="124" t="s">
        <v>38</v>
      </c>
      <c r="C5" s="125"/>
      <c r="D5" s="125"/>
      <c r="E5" s="125"/>
      <c r="F5" s="126"/>
      <c r="G5" s="54">
        <v>10109141.314623382</v>
      </c>
      <c r="H5" s="14" t="s">
        <v>3</v>
      </c>
      <c r="I5" s="1"/>
    </row>
    <row r="6" spans="1:9" x14ac:dyDescent="0.25">
      <c r="A6" s="1"/>
      <c r="B6" s="124" t="s">
        <v>39</v>
      </c>
      <c r="C6" s="125"/>
      <c r="D6" s="125"/>
      <c r="E6" s="125"/>
      <c r="F6" s="126"/>
      <c r="G6" s="54">
        <f>G5*'Fane 13. Nøgletal'!C31</f>
        <v>202182.82629246765</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21" t="s">
        <v>50</v>
      </c>
      <c r="C9" s="122"/>
      <c r="D9" s="122"/>
      <c r="E9" s="122"/>
      <c r="F9" s="122"/>
      <c r="G9" s="127"/>
      <c r="H9" s="123"/>
      <c r="I9" s="1"/>
    </row>
    <row r="10" spans="1:9" x14ac:dyDescent="0.25">
      <c r="A10" s="1"/>
      <c r="B10" s="124" t="s">
        <v>40</v>
      </c>
      <c r="C10" s="125"/>
      <c r="D10" s="125"/>
      <c r="E10" s="125"/>
      <c r="F10" s="126"/>
      <c r="G10" s="54">
        <f>(G5-G6)*(1+'Fane 13. Nøgletal'!C9)</f>
        <v>10032776.861132715</v>
      </c>
      <c r="H10" s="14" t="s">
        <v>3</v>
      </c>
      <c r="I10" s="1"/>
    </row>
    <row r="11" spans="1:9" x14ac:dyDescent="0.25">
      <c r="A11" s="1"/>
      <c r="B11" s="128" t="s">
        <v>41</v>
      </c>
      <c r="C11" s="129"/>
      <c r="D11" s="129"/>
      <c r="E11" s="129"/>
      <c r="F11" s="130"/>
      <c r="G11" s="54">
        <v>0</v>
      </c>
      <c r="H11" s="14" t="s">
        <v>3</v>
      </c>
      <c r="I11" s="1"/>
    </row>
    <row r="12" spans="1:9" x14ac:dyDescent="0.25">
      <c r="A12" s="1"/>
      <c r="B12" s="124" t="s">
        <v>42</v>
      </c>
      <c r="C12" s="125"/>
      <c r="D12" s="125"/>
      <c r="E12" s="125"/>
      <c r="F12" s="126"/>
      <c r="G12" s="54">
        <f>(G10+G11)*'Fane 13. Nøgletal'!C31</f>
        <v>200655.5372226543</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21" t="s">
        <v>51</v>
      </c>
      <c r="C15" s="122"/>
      <c r="D15" s="122"/>
      <c r="E15" s="122"/>
      <c r="F15" s="122"/>
      <c r="G15" s="127"/>
      <c r="H15" s="123"/>
      <c r="I15" s="1"/>
    </row>
    <row r="16" spans="1:9" x14ac:dyDescent="0.25">
      <c r="A16" s="1"/>
      <c r="B16" s="124" t="s">
        <v>43</v>
      </c>
      <c r="C16" s="125"/>
      <c r="D16" s="125"/>
      <c r="E16" s="125"/>
      <c r="F16" s="126"/>
      <c r="G16" s="54">
        <f>(G10+G11-G12)*(1+'Fane 13. Nøgletal'!C11)</f>
        <v>9998284.1742841396</v>
      </c>
      <c r="H16" s="14" t="s">
        <v>3</v>
      </c>
      <c r="I16" s="1"/>
    </row>
    <row r="17" spans="1:9" x14ac:dyDescent="0.25">
      <c r="A17" s="1"/>
      <c r="B17" s="124" t="s">
        <v>108</v>
      </c>
      <c r="C17" s="125"/>
      <c r="D17" s="125"/>
      <c r="E17" s="125"/>
      <c r="F17" s="126"/>
      <c r="G17" s="54">
        <v>0</v>
      </c>
      <c r="H17" s="14" t="s">
        <v>3</v>
      </c>
      <c r="I17" s="1"/>
    </row>
    <row r="18" spans="1:9" x14ac:dyDescent="0.25">
      <c r="A18" s="1"/>
      <c r="B18" s="128" t="s">
        <v>44</v>
      </c>
      <c r="C18" s="129"/>
      <c r="D18" s="129"/>
      <c r="E18" s="129"/>
      <c r="F18" s="130"/>
      <c r="G18" s="54">
        <v>0</v>
      </c>
      <c r="H18" s="14" t="s">
        <v>3</v>
      </c>
      <c r="I18" s="1"/>
    </row>
    <row r="19" spans="1:9" x14ac:dyDescent="0.25">
      <c r="A19" s="1"/>
      <c r="B19" s="124" t="s">
        <v>45</v>
      </c>
      <c r="C19" s="125"/>
      <c r="D19" s="125"/>
      <c r="E19" s="125"/>
      <c r="F19" s="126"/>
      <c r="G19" s="54">
        <f>SUM(G16:G18)*'Fane 13. Nøgletal'!C31</f>
        <v>199965.68348568279</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21" t="s">
        <v>52</v>
      </c>
      <c r="C22" s="122"/>
      <c r="D22" s="122"/>
      <c r="E22" s="122"/>
      <c r="F22" s="122"/>
      <c r="G22" s="127"/>
      <c r="H22" s="123"/>
      <c r="I22" s="1"/>
    </row>
    <row r="23" spans="1:9" x14ac:dyDescent="0.25">
      <c r="A23" s="1"/>
      <c r="B23" s="124" t="s">
        <v>46</v>
      </c>
      <c r="C23" s="125"/>
      <c r="D23" s="125"/>
      <c r="E23" s="125"/>
      <c r="F23" s="126"/>
      <c r="G23" s="54">
        <f>(SUM(G16:G18)-G19)*(1+'Fane 13. Nøgletal'!C11)</f>
        <v>9963910.0732929502</v>
      </c>
      <c r="H23" s="14" t="s">
        <v>3</v>
      </c>
      <c r="I23" s="1"/>
    </row>
    <row r="24" spans="1:9" x14ac:dyDescent="0.25">
      <c r="A24" s="1"/>
      <c r="B24" s="128" t="s">
        <v>47</v>
      </c>
      <c r="C24" s="129"/>
      <c r="D24" s="129"/>
      <c r="E24" s="129"/>
      <c r="F24" s="130"/>
      <c r="G24" s="54">
        <v>0</v>
      </c>
      <c r="H24" s="14" t="s">
        <v>3</v>
      </c>
      <c r="I24" s="1"/>
    </row>
    <row r="25" spans="1:9" x14ac:dyDescent="0.25">
      <c r="A25" s="1"/>
      <c r="B25" s="124" t="s">
        <v>48</v>
      </c>
      <c r="C25" s="125"/>
      <c r="D25" s="125"/>
      <c r="E25" s="125"/>
      <c r="F25" s="126"/>
      <c r="G25" s="54">
        <f>(G23+G24)*'Fane 13. Nøgletal'!C31</f>
        <v>199278.20146585902</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21" t="s">
        <v>132</v>
      </c>
      <c r="C28" s="122"/>
      <c r="D28" s="122"/>
      <c r="E28" s="122"/>
      <c r="F28" s="122"/>
      <c r="G28" s="127"/>
      <c r="H28" s="123"/>
      <c r="I28" s="1"/>
    </row>
    <row r="29" spans="1:9" x14ac:dyDescent="0.25">
      <c r="A29" s="1"/>
      <c r="B29" s="124" t="s">
        <v>55</v>
      </c>
      <c r="C29" s="125"/>
      <c r="D29" s="125"/>
      <c r="E29" s="125"/>
      <c r="F29" s="126"/>
      <c r="G29" s="54">
        <f>(G23+G24-G25)*(1+'Fane 13. Nøgletal'!C13)</f>
        <v>9883760.3806633819</v>
      </c>
      <c r="H29" s="14" t="s">
        <v>3</v>
      </c>
      <c r="I29" s="1"/>
    </row>
    <row r="30" spans="1:9" x14ac:dyDescent="0.25">
      <c r="A30" s="1"/>
      <c r="B30" s="124" t="s">
        <v>121</v>
      </c>
      <c r="C30" s="125"/>
      <c r="D30" s="125"/>
      <c r="E30" s="125"/>
      <c r="F30" s="126"/>
      <c r="G30" s="54">
        <v>0</v>
      </c>
      <c r="H30" s="14" t="s">
        <v>3</v>
      </c>
      <c r="I30" s="1"/>
    </row>
    <row r="31" spans="1:9" x14ac:dyDescent="0.25">
      <c r="A31" s="1"/>
      <c r="B31" s="124" t="s">
        <v>126</v>
      </c>
      <c r="C31" s="125"/>
      <c r="D31" s="125"/>
      <c r="E31" s="125"/>
      <c r="F31" s="126"/>
      <c r="G31" s="54">
        <f>(G29+G30)*'Fane 13. Nøgletal'!C31</f>
        <v>197675.20761326764</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21" t="s">
        <v>133</v>
      </c>
      <c r="C34" s="122"/>
      <c r="D34" s="122"/>
      <c r="E34" s="122"/>
      <c r="F34" s="122"/>
      <c r="G34" s="127"/>
      <c r="H34" s="123"/>
      <c r="I34" s="1"/>
    </row>
    <row r="35" spans="1:9" x14ac:dyDescent="0.25">
      <c r="A35" s="1"/>
      <c r="B35" s="124" t="s">
        <v>74</v>
      </c>
      <c r="C35" s="125"/>
      <c r="D35" s="125"/>
      <c r="E35" s="125"/>
      <c r="F35" s="126"/>
      <c r="G35" s="54">
        <f>(G29+G30-G31)*(1+'Fane 13. Nøgletal'!C13)</f>
        <v>9804255.412161326</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55722.959037730012</v>
      </c>
      <c r="H36" s="14" t="s">
        <v>3</v>
      </c>
      <c r="I36" s="1"/>
    </row>
    <row r="37" spans="1:9" x14ac:dyDescent="0.25">
      <c r="A37" s="1"/>
      <c r="B37" s="124" t="s">
        <v>134</v>
      </c>
      <c r="C37" s="125"/>
      <c r="D37" s="125"/>
      <c r="E37" s="125"/>
      <c r="F37" s="126"/>
      <c r="G37" s="54">
        <f>(G35+G36)*'Fane 13. Nøgletal'!C31</f>
        <v>197199.56742398115</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21" t="s">
        <v>198</v>
      </c>
      <c r="C40" s="122"/>
      <c r="D40" s="122"/>
      <c r="E40" s="122"/>
      <c r="F40" s="122"/>
      <c r="G40" s="127"/>
      <c r="H40" s="123"/>
      <c r="I40" s="1"/>
    </row>
    <row r="41" spans="1:9" x14ac:dyDescent="0.25">
      <c r="A41" s="1"/>
      <c r="B41" s="124" t="s">
        <v>73</v>
      </c>
      <c r="C41" s="125"/>
      <c r="D41" s="125"/>
      <c r="E41" s="125"/>
      <c r="F41" s="126"/>
      <c r="G41" s="54">
        <f>(G35+G36-G37)*(1+'Fane 13. Nøgletal'!C15)</f>
        <v>10006773.729189469</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455.79862800000006</v>
      </c>
      <c r="H42" s="14" t="s">
        <v>3</v>
      </c>
      <c r="I42" s="1"/>
    </row>
    <row r="43" spans="1:9" x14ac:dyDescent="0.25">
      <c r="A43" s="1"/>
      <c r="B43" s="124" t="s">
        <v>208</v>
      </c>
      <c r="C43" s="125"/>
      <c r="D43" s="125"/>
      <c r="E43" s="125"/>
      <c r="F43" s="126"/>
      <c r="G43" s="54">
        <f>(G41+G42)*'Fane 13. Nøgletal'!C31</f>
        <v>200144.59055634937</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21" t="s">
        <v>199</v>
      </c>
      <c r="C46" s="122"/>
      <c r="D46" s="122"/>
      <c r="E46" s="122"/>
      <c r="F46" s="122"/>
      <c r="G46" s="127"/>
      <c r="H46" s="123"/>
      <c r="I46" s="1"/>
    </row>
    <row r="47" spans="1:9" x14ac:dyDescent="0.25">
      <c r="A47" s="1"/>
      <c r="B47" s="124" t="s">
        <v>122</v>
      </c>
      <c r="C47" s="125"/>
      <c r="D47" s="125"/>
      <c r="E47" s="125"/>
      <c r="F47" s="126"/>
      <c r="G47" s="54">
        <f>(G41+G42-G43)*(1+'Fane 13. Nøgletal'!C15)</f>
        <v>10156217.161027616</v>
      </c>
      <c r="H47" s="14" t="s">
        <v>3</v>
      </c>
      <c r="I47" s="1"/>
    </row>
    <row r="48" spans="1:9" x14ac:dyDescent="0.25">
      <c r="A48" s="1"/>
      <c r="B48" s="124" t="s">
        <v>209</v>
      </c>
      <c r="C48" s="125"/>
      <c r="D48" s="125"/>
      <c r="E48" s="125"/>
      <c r="F48" s="126"/>
      <c r="G48" s="54">
        <f>(G47)*'Fane 13. Nøgletal'!C31</f>
        <v>203124.34322055231</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21" t="s">
        <v>145</v>
      </c>
      <c r="C51" s="122"/>
      <c r="D51" s="122"/>
      <c r="E51" s="122"/>
      <c r="F51" s="122"/>
      <c r="G51" s="127"/>
      <c r="H51" s="123"/>
      <c r="I51" s="1"/>
    </row>
    <row r="52" spans="1:9" x14ac:dyDescent="0.25">
      <c r="A52" s="1"/>
      <c r="B52" s="124" t="s">
        <v>146</v>
      </c>
      <c r="C52" s="125"/>
      <c r="D52" s="125"/>
      <c r="E52" s="125"/>
      <c r="F52" s="126"/>
      <c r="G52" s="54">
        <f>(G47-G48)*(1+'Fane 13. Nøgletal'!C15)</f>
        <v>10307422.922120996</v>
      </c>
      <c r="H52" s="14" t="s">
        <v>3</v>
      </c>
      <c r="I52" s="1"/>
    </row>
    <row r="53" spans="1:9" x14ac:dyDescent="0.25">
      <c r="A53" s="1"/>
      <c r="B53" s="124" t="s">
        <v>147</v>
      </c>
      <c r="C53" s="125"/>
      <c r="D53" s="125"/>
      <c r="E53" s="125"/>
      <c r="F53" s="126"/>
      <c r="G53" s="54">
        <f>(G52)*'Fane 13. Nøgletal'!C31</f>
        <v>206148.45844241991</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21" t="s">
        <v>174</v>
      </c>
      <c r="C56" s="122"/>
      <c r="D56" s="122"/>
      <c r="E56" s="122"/>
      <c r="F56" s="122"/>
      <c r="G56" s="127"/>
      <c r="H56" s="123"/>
      <c r="I56" s="1"/>
    </row>
    <row r="57" spans="1:9" x14ac:dyDescent="0.25">
      <c r="A57" s="1"/>
      <c r="B57" s="124" t="s">
        <v>175</v>
      </c>
      <c r="C57" s="125"/>
      <c r="D57" s="125"/>
      <c r="E57" s="125"/>
      <c r="F57" s="126"/>
      <c r="G57" s="54">
        <f>(G52-G53)*(1+'Fane 13. Nøgletal'!C15)</f>
        <v>10460879.834585534</v>
      </c>
      <c r="H57" s="14" t="s">
        <v>3</v>
      </c>
      <c r="I57" s="1"/>
    </row>
    <row r="58" spans="1:9" x14ac:dyDescent="0.25">
      <c r="A58" s="1"/>
      <c r="B58" s="124" t="s">
        <v>176</v>
      </c>
      <c r="C58" s="125"/>
      <c r="D58" s="125"/>
      <c r="E58" s="125"/>
      <c r="F58" s="126"/>
      <c r="G58" s="54">
        <f>(G57)*'Fane 13. Nøgletal'!C31</f>
        <v>209217.5966917107</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1mSOtBaNn0e6xux5FeK16cJyNPKEeeCOJp49ENHcvoAlWJQ/qi0W25DHJWAszIxIZK0vC7x1Rd9ZetJpFKMopg==" saltValue="/UbEL61CDpGYPUTyKduPcg=="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5703125" style="2" customWidth="1"/>
    <col min="2" max="5" width="9" style="2"/>
    <col min="6" max="6" width="25.5703125" style="2" customWidth="1"/>
    <col min="7" max="7" width="10.28515625" style="2" customWidth="1"/>
    <col min="8" max="8" width="2.85546875" style="2" bestFit="1" customWidth="1"/>
    <col min="9" max="9" width="4.570312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21" t="s">
        <v>53</v>
      </c>
      <c r="C4" s="122"/>
      <c r="D4" s="122"/>
      <c r="E4" s="122"/>
      <c r="F4" s="122"/>
      <c r="G4" s="122"/>
      <c r="H4" s="123"/>
      <c r="I4" s="1"/>
    </row>
    <row r="5" spans="1:9" x14ac:dyDescent="0.25">
      <c r="A5" s="1"/>
      <c r="B5" s="124" t="s">
        <v>56</v>
      </c>
      <c r="C5" s="125"/>
      <c r="D5" s="125"/>
      <c r="E5" s="125"/>
      <c r="F5" s="126"/>
      <c r="G5" s="54">
        <v>8664845.4405658785</v>
      </c>
      <c r="H5" s="14" t="s">
        <v>3</v>
      </c>
      <c r="I5" s="1"/>
    </row>
    <row r="6" spans="1:9" x14ac:dyDescent="0.25">
      <c r="A6" s="1"/>
      <c r="B6" s="124" t="s">
        <v>54</v>
      </c>
      <c r="C6" s="125"/>
      <c r="D6" s="125"/>
      <c r="E6" s="125"/>
      <c r="F6" s="126"/>
      <c r="G6" s="54">
        <f>G5*'Fane 13. Nøgletal'!C20</f>
        <v>78850.093509149505</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21" t="s">
        <v>57</v>
      </c>
      <c r="C9" s="122"/>
      <c r="D9" s="122"/>
      <c r="E9" s="122"/>
      <c r="F9" s="122"/>
      <c r="G9" s="127"/>
      <c r="H9" s="123"/>
      <c r="I9" s="1"/>
    </row>
    <row r="10" spans="1:9" x14ac:dyDescent="0.25">
      <c r="A10" s="1"/>
      <c r="B10" s="124" t="s">
        <v>58</v>
      </c>
      <c r="C10" s="125"/>
      <c r="D10" s="125"/>
      <c r="E10" s="125"/>
      <c r="F10" s="126"/>
      <c r="G10" s="54">
        <f>(G5-G6)*(1+'Fane 13. Nøgletal'!C9)</f>
        <v>8695037.4879643489</v>
      </c>
      <c r="H10" s="14" t="s">
        <v>3</v>
      </c>
      <c r="I10" s="1"/>
    </row>
    <row r="11" spans="1:9" x14ac:dyDescent="0.25">
      <c r="A11" s="1"/>
      <c r="B11" s="128" t="s">
        <v>59</v>
      </c>
      <c r="C11" s="129"/>
      <c r="D11" s="129"/>
      <c r="E11" s="129"/>
      <c r="F11" s="130"/>
      <c r="G11" s="59">
        <v>0</v>
      </c>
      <c r="H11" s="14" t="s">
        <v>3</v>
      </c>
      <c r="I11" s="1"/>
    </row>
    <row r="12" spans="1:9" x14ac:dyDescent="0.25">
      <c r="A12" s="1"/>
      <c r="B12" s="124" t="s">
        <v>60</v>
      </c>
      <c r="C12" s="125"/>
      <c r="D12" s="125"/>
      <c r="E12" s="125"/>
      <c r="F12" s="126"/>
      <c r="G12" s="54">
        <f>G10*'Fane 13. Nøgletal'!C20+G11*'Fane 13. Nøgletal'!C21</f>
        <v>79124.841140475575</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21" t="s">
        <v>61</v>
      </c>
      <c r="C15" s="122"/>
      <c r="D15" s="122"/>
      <c r="E15" s="122"/>
      <c r="F15" s="122"/>
      <c r="G15" s="127"/>
      <c r="H15" s="123"/>
      <c r="I15" s="1"/>
    </row>
    <row r="16" spans="1:9" x14ac:dyDescent="0.25">
      <c r="A16" s="1"/>
      <c r="B16" s="124" t="s">
        <v>62</v>
      </c>
      <c r="C16" s="125"/>
      <c r="D16" s="125"/>
      <c r="E16" s="125"/>
      <c r="F16" s="126"/>
      <c r="G16" s="54">
        <f>(G10+G11-G12)*(1+'Fane 13. Nøgletal'!C11)</f>
        <v>8761521.5705551971</v>
      </c>
      <c r="H16" s="14" t="s">
        <v>3</v>
      </c>
      <c r="I16" s="1"/>
    </row>
    <row r="17" spans="1:9" x14ac:dyDescent="0.25">
      <c r="A17" s="1"/>
      <c r="B17" s="124" t="s">
        <v>109</v>
      </c>
      <c r="C17" s="125"/>
      <c r="D17" s="125"/>
      <c r="E17" s="125"/>
      <c r="F17" s="126"/>
      <c r="G17" s="54">
        <v>-697708.95852100162</v>
      </c>
      <c r="H17" s="14" t="s">
        <v>3</v>
      </c>
      <c r="I17" s="1"/>
    </row>
    <row r="18" spans="1:9" x14ac:dyDescent="0.25">
      <c r="A18" s="1"/>
      <c r="B18" s="128" t="s">
        <v>63</v>
      </c>
      <c r="C18" s="129"/>
      <c r="D18" s="129"/>
      <c r="E18" s="129"/>
      <c r="F18" s="130"/>
      <c r="G18" s="54">
        <v>2100187.5445712097</v>
      </c>
      <c r="H18" s="14" t="s">
        <v>3</v>
      </c>
      <c r="I18" s="1"/>
    </row>
    <row r="19" spans="1:9" x14ac:dyDescent="0.25">
      <c r="A19" s="1"/>
      <c r="B19" s="124" t="s">
        <v>64</v>
      </c>
      <c r="C19" s="125"/>
      <c r="D19" s="125"/>
      <c r="E19" s="125"/>
      <c r="F19" s="126"/>
      <c r="G19" s="54">
        <f>(G16+G17+G18)*'Fane 13. Nøgletal'!C22</f>
        <v>88426.801362467013</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21" t="s">
        <v>65</v>
      </c>
      <c r="C22" s="122"/>
      <c r="D22" s="122"/>
      <c r="E22" s="122"/>
      <c r="F22" s="122"/>
      <c r="G22" s="127"/>
      <c r="H22" s="123"/>
      <c r="I22" s="1"/>
    </row>
    <row r="23" spans="1:9" x14ac:dyDescent="0.25">
      <c r="A23" s="1"/>
      <c r="B23" s="124" t="s">
        <v>66</v>
      </c>
      <c r="C23" s="125"/>
      <c r="D23" s="125"/>
      <c r="E23" s="125"/>
      <c r="F23" s="126"/>
      <c r="G23" s="54">
        <f>(SUM(G16:G18)-G19)*(1+'Fane 13. Nøgletal'!C11)</f>
        <v>10245850.54494654</v>
      </c>
      <c r="H23" s="14" t="s">
        <v>3</v>
      </c>
      <c r="I23" s="1"/>
    </row>
    <row r="24" spans="1:9" x14ac:dyDescent="0.25">
      <c r="A24" s="1"/>
      <c r="B24" s="128" t="s">
        <v>67</v>
      </c>
      <c r="C24" s="129"/>
      <c r="D24" s="129"/>
      <c r="E24" s="129"/>
      <c r="F24" s="130"/>
      <c r="G24" s="54">
        <v>2085780.0635081241</v>
      </c>
      <c r="H24" s="14" t="s">
        <v>3</v>
      </c>
      <c r="I24" s="1"/>
    </row>
    <row r="25" spans="1:9" x14ac:dyDescent="0.25">
      <c r="A25" s="1"/>
      <c r="B25" s="124" t="s">
        <v>68</v>
      </c>
      <c r="C25" s="125"/>
      <c r="D25" s="125"/>
      <c r="E25" s="125"/>
      <c r="F25" s="126"/>
      <c r="G25" s="54">
        <f>G23*'Fane 13. Nøgletal'!C22+G24*'Fane 13. Nøgletal'!C23</f>
        <v>148375.05354466563</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21" t="s">
        <v>130</v>
      </c>
      <c r="C28" s="122"/>
      <c r="D28" s="122"/>
      <c r="E28" s="122"/>
      <c r="F28" s="122"/>
      <c r="G28" s="127"/>
      <c r="H28" s="123"/>
      <c r="I28" s="1"/>
    </row>
    <row r="29" spans="1:9" x14ac:dyDescent="0.25">
      <c r="A29" s="1"/>
      <c r="B29" s="124" t="s">
        <v>69</v>
      </c>
      <c r="C29" s="125"/>
      <c r="D29" s="125"/>
      <c r="E29" s="125"/>
      <c r="F29" s="126"/>
      <c r="G29" s="54">
        <f>(G23+G24-G25)*(1+'Fane 13. Nøgletal'!C13)</f>
        <v>12331891.272679901</v>
      </c>
      <c r="H29" s="14" t="s">
        <v>3</v>
      </c>
      <c r="I29" s="1"/>
    </row>
    <row r="30" spans="1:9" x14ac:dyDescent="0.25">
      <c r="A30" s="1"/>
      <c r="B30" s="124" t="s">
        <v>123</v>
      </c>
      <c r="C30" s="125"/>
      <c r="D30" s="125"/>
      <c r="E30" s="125"/>
      <c r="F30" s="126"/>
      <c r="G30" s="54">
        <v>1141368.9232856401</v>
      </c>
      <c r="H30" s="14" t="s">
        <v>3</v>
      </c>
      <c r="I30" s="1"/>
    </row>
    <row r="31" spans="1:9" x14ac:dyDescent="0.25">
      <c r="A31" s="1"/>
      <c r="B31" s="124" t="s">
        <v>131</v>
      </c>
      <c r="C31" s="125"/>
      <c r="D31" s="125"/>
      <c r="E31" s="125"/>
      <c r="F31" s="126"/>
      <c r="G31" s="54">
        <f>(G29+G30)*'Fane 13. Nøgletal'!C24</f>
        <v>370514.65538905241</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21" t="s">
        <v>135</v>
      </c>
      <c r="C34" s="122"/>
      <c r="D34" s="122"/>
      <c r="E34" s="122"/>
      <c r="F34" s="122"/>
      <c r="G34" s="127"/>
      <c r="H34" s="123"/>
      <c r="I34" s="1"/>
    </row>
    <row r="35" spans="1:9" x14ac:dyDescent="0.25">
      <c r="A35" s="1"/>
      <c r="B35" s="124" t="s">
        <v>72</v>
      </c>
      <c r="C35" s="125"/>
      <c r="D35" s="125"/>
      <c r="E35" s="125"/>
      <c r="F35" s="126"/>
      <c r="G35" s="54">
        <f>(G29+G30-G31)*(1+'Fane 13. Nøgletal'!C13)</f>
        <v>13262599.036171522</v>
      </c>
      <c r="H35" s="14" t="s">
        <v>3</v>
      </c>
      <c r="I35" s="1"/>
    </row>
    <row r="36" spans="1:9" x14ac:dyDescent="0.25">
      <c r="A36" s="1"/>
      <c r="B36" s="124" t="s">
        <v>141</v>
      </c>
      <c r="C36" s="125"/>
      <c r="D36" s="125"/>
      <c r="E36" s="125"/>
      <c r="F36" s="126"/>
      <c r="G36" s="54">
        <f>SUM('Fane 3. Omkostninger i ØR2022'!E11)*(1+'Fane 13. Nøgletal'!C14)</f>
        <v>1223083.5685053901</v>
      </c>
      <c r="H36" s="14" t="s">
        <v>3</v>
      </c>
      <c r="I36" s="1"/>
    </row>
    <row r="37" spans="1:9" x14ac:dyDescent="0.25">
      <c r="A37" s="1"/>
      <c r="B37" s="124" t="s">
        <v>136</v>
      </c>
      <c r="C37" s="125"/>
      <c r="D37" s="125"/>
      <c r="E37" s="125"/>
      <c r="F37" s="126"/>
      <c r="G37" s="54">
        <f>G35*'Fane 13. Nøgletal'!C24+G36*'Fane 13. Nøgletal'!C25</f>
        <v>382823.11030859663</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21" t="s">
        <v>200</v>
      </c>
      <c r="C40" s="122"/>
      <c r="D40" s="122"/>
      <c r="E40" s="122"/>
      <c r="F40" s="122"/>
      <c r="G40" s="127"/>
      <c r="H40" s="123"/>
      <c r="I40" s="1"/>
    </row>
    <row r="41" spans="1:9" x14ac:dyDescent="0.25">
      <c r="A41" s="1"/>
      <c r="B41" s="124" t="s">
        <v>71</v>
      </c>
      <c r="C41" s="125"/>
      <c r="D41" s="125"/>
      <c r="E41" s="125"/>
      <c r="F41" s="126"/>
      <c r="G41" s="54">
        <f>(G35+G36-G37)*(1+'Fane 13. Nøgletal'!C15)</f>
        <v>14604921.292367827</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3495.1711262400008</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21" t="s">
        <v>201</v>
      </c>
      <c r="C46" s="122"/>
      <c r="D46" s="122"/>
      <c r="E46" s="122"/>
      <c r="F46" s="122"/>
      <c r="G46" s="127"/>
      <c r="H46" s="123"/>
      <c r="I46" s="1"/>
    </row>
    <row r="47" spans="1:9" x14ac:dyDescent="0.25">
      <c r="A47" s="1"/>
      <c r="B47" s="124" t="s">
        <v>124</v>
      </c>
      <c r="C47" s="125"/>
      <c r="D47" s="125"/>
      <c r="E47" s="125"/>
      <c r="F47" s="126"/>
      <c r="G47" s="54">
        <f>(G41+G42-G43)*(1+'Fane 13. Nøgletal'!C15)</f>
        <v>15128476.089594457</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21" t="s">
        <v>142</v>
      </c>
      <c r="C51" s="122"/>
      <c r="D51" s="122"/>
      <c r="E51" s="122"/>
      <c r="F51" s="122"/>
      <c r="G51" s="127"/>
      <c r="H51" s="123"/>
      <c r="I51" s="1"/>
    </row>
    <row r="52" spans="1:9" x14ac:dyDescent="0.25">
      <c r="A52" s="1"/>
      <c r="B52" s="124" t="s">
        <v>143</v>
      </c>
      <c r="C52" s="125"/>
      <c r="D52" s="125"/>
      <c r="E52" s="125"/>
      <c r="F52" s="126"/>
      <c r="G52" s="54">
        <f>(G47-G48)*(1+'Fane 13. Nøgletal'!C15)</f>
        <v>15667049.838384021</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21" t="s">
        <v>177</v>
      </c>
      <c r="C56" s="122"/>
      <c r="D56" s="122"/>
      <c r="E56" s="122"/>
      <c r="F56" s="122"/>
      <c r="G56" s="127"/>
      <c r="H56" s="123"/>
      <c r="I56" s="1"/>
    </row>
    <row r="57" spans="1:9" x14ac:dyDescent="0.25">
      <c r="A57" s="1"/>
      <c r="B57" s="124" t="s">
        <v>178</v>
      </c>
      <c r="C57" s="125"/>
      <c r="D57" s="125"/>
      <c r="E57" s="125"/>
      <c r="F57" s="126"/>
      <c r="G57" s="54">
        <f>(G52-G53)*(1+'Fane 13. Nøgletal'!C15)</f>
        <v>16224796.812630493</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Kybg8NJ6mxqcHKSqVLADok98pmSm9jFvsUDLRUIO3Tfzt6EAY/S5wirH++DDUKOhvUGa6Pz/pueuQF2//iaY0A==" saltValue="N95n17vv0/lpZguvoHHtYg=="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1" t="s">
        <v>9</v>
      </c>
      <c r="C8" s="122"/>
      <c r="D8" s="122"/>
      <c r="E8" s="122"/>
      <c r="F8" s="122"/>
      <c r="G8" s="122"/>
      <c r="H8" s="1"/>
    </row>
    <row r="9" spans="1:8" x14ac:dyDescent="0.25">
      <c r="A9" s="1"/>
      <c r="B9" s="72" t="s">
        <v>180</v>
      </c>
      <c r="C9" s="73"/>
      <c r="D9" s="73"/>
      <c r="E9" s="73"/>
      <c r="F9" s="74"/>
      <c r="G9" s="28">
        <v>0.02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bb/XhOxPTRYsnesIbCaH0SBxlqAdTKXgO5ivds7ZvYx6uOO+tOjVynrZEvnZJTNC4k+q41Y5vUqzNALwtybYXQ==" saltValue="l2t6Nr2KrDR2cu5UpPkXV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2022-12-01T09:07:39Z</dcterms:modified>
</cp:coreProperties>
</file>