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BRANDE VANDVÆRK A.M.B.A (V030)\ØR2024\"/>
    </mc:Choice>
  </mc:AlternateContent>
  <xr:revisionPtr revIDLastSave="0" documentId="13_ncr:1_{34AF6C0F-8405-4E4C-8E28-98677DC108DC}"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G23" i="30" l="1"/>
  <c r="G16" i="30"/>
  <c r="G12" i="30"/>
  <c r="G6" i="30"/>
  <c r="G19" i="30" l="1"/>
  <c r="E23" i="41" l="1"/>
  <c r="E31" i="41" l="1"/>
  <c r="E33" i="41" s="1"/>
  <c r="E27" i="41"/>
  <c r="C29" i="2" s="1"/>
  <c r="C8" i="2"/>
  <c r="C17" i="22" l="1"/>
  <c r="C17" i="15"/>
  <c r="C13" i="29"/>
  <c r="C14" i="29" s="1"/>
  <c r="E14" i="39" l="1"/>
  <c r="C14" i="39"/>
  <c r="C31" i="2" l="1"/>
  <c r="E15" i="39" l="1"/>
  <c r="C15" i="39"/>
  <c r="J17" i="11"/>
  <c r="H17" i="11"/>
  <c r="F11" i="11" l="1"/>
  <c r="F12" i="11"/>
  <c r="F13" i="11"/>
  <c r="F14" i="11"/>
  <c r="F15" i="11"/>
  <c r="F16" i="11"/>
  <c r="F10" i="11"/>
  <c r="F17" i="11" s="1"/>
  <c r="C19" i="23" l="1"/>
  <c r="C19" i="22"/>
  <c r="C19" i="15"/>
  <c r="G18" i="40"/>
  <c r="E13" i="29" l="1"/>
  <c r="C19" i="19"/>
  <c r="C20" i="19" s="1"/>
  <c r="C15" i="23" l="1"/>
  <c r="C15" i="15"/>
  <c r="C15" i="22"/>
  <c r="E14" i="29"/>
  <c r="C14" i="2" s="1"/>
  <c r="E10" i="37"/>
  <c r="E17" i="37" s="1"/>
  <c r="E18" i="37" s="1"/>
  <c r="C10" i="37"/>
  <c r="C17" i="37" s="1"/>
  <c r="C18" i="37" s="1"/>
  <c r="C23" i="2" l="1"/>
  <c r="C25" i="2" s="1"/>
  <c r="G10" i="30" l="1"/>
  <c r="C10" i="2" l="1"/>
  <c r="E13" i="21"/>
  <c r="E14" i="21" s="1"/>
  <c r="C13" i="21"/>
  <c r="C14" i="21" s="1"/>
  <c r="C11" i="2" l="1"/>
  <c r="C12" i="2"/>
  <c r="G48" i="36" s="1"/>
  <c r="C24" i="2" l="1"/>
  <c r="C26" i="2" s="1"/>
  <c r="C27" i="2" l="1"/>
  <c r="G6" i="36"/>
  <c r="G10" i="36" s="1"/>
  <c r="G12" i="36" l="1"/>
  <c r="G16" i="36" s="1"/>
  <c r="G19" i="36" l="1"/>
  <c r="G25" i="30"/>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4" i="2" s="1"/>
  <c r="G58" i="36" l="1"/>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<sst xmlns="http://schemas.openxmlformats.org/spreadsheetml/2006/main" count="579" uniqueCount="266">
  <si>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</si>
  <si>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</si>
  <si>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</si>
  <si>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</si>
  <si>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</si>
  <si>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</si>
  <si>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</si>
  <si>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</si>
  <si>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</si>
  <si>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</si>
  <si>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</si>
  <si>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</si>
  <si>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</si>
  <si>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</si>
  <si>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</si>
  <si>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</si>
  <si>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</si>
  <si>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</si>
  <si>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</si>
  <si>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</si>
  <si>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</si>
  <si>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</si>
  <si>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</si>
  <si>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</si>
  <si>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</si>
  <si>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</si>
  <si>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</si>
  <si>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</si>
  <si>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</si>
  <si>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</si>
  <si>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</si>
  <si>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</si>
  <si>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</si>
  <si>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</si>
  <si>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</si>
  <si>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</si>
  <si>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</si>
  <si>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</si>
  <si>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</si>
  <si>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</si>
  <si>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</si>
  <si>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</si>
  <si>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</si>
  <si>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</si>
  <si>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</si>
  <si>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</si>
  <si>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</si>
  <si>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</si>
  <si>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</si>
  <si>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</si>
  <si>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</si>
  <si>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</si>
  <si>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</si>
  <si>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</si>
  <si>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</si>
  <si>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</si>
  <si>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</si>
  <si>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</si>
  <si>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</si>
  <si>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</si>
  <si>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</si>
  <si>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</si>
  <si>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</si>
  <si>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</si>
  <si>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</si>
  <si>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</si>
  <si>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</si>
  <si>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</si>
  <si>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</si>
  <si>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</si>
  <si>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</si>
  <si>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</si>
  <si>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</si>
  <si>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</si>
  <si>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</si>
  <si>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</si>
  <si>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</si>
  <si>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</si>
  <si>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</si>
  <si>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</si>
  <si>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</si>
  <si>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</si>
  <si>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</si>
  <si>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</si>
  <si>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</si>
  <si>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</si>
  <si>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</si>
  <si>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</si>
  <si>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</si>
  <si>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</si>
  <si>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</si>
  <si>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</si>
  <si>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</si>
  <si>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</si>
  <si>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</si>
  <si>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</si>
  <si>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</si>
  <si>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</si>
  <si>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</si>
  <si>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</si>
  <si>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</si>
  <si>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</si>
  <si>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</si>
  <si>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</si>
  <si>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</si>
  <si>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</si>
  <si>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</si>
  <si>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</si>
  <si>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</si>
  <si>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</si>
  <si>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</si>
  <si>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</si>
  <si>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</si>
  <si>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</si>
  <si>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</si>
  <si>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</si>
  <si>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</si>
  <si>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</si>
  <si>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</si>
  <si>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</si>
  <si>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</si>
  <si>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</si>
  <si>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</si>
  <si>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</si>
  <si>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</si>
  <si>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</si>
  <si>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</si>
  <si>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</si>
  <si>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</si>
  <si>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</si>
  <si>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</si>
  <si>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</si>
  <si>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</si>
  <si>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</si>
  <si>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</si>
  <si>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</si>
  <si>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</si>
  <si>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</si>
  <si>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</si>
  <si>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</si>
  <si>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</si>
  <si>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</si>
  <si>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</si>
  <si>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</si>
  <si>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</si>
  <si>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</si>
  <si>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</si>
  <si>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</si>
  <si>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</si>
  <si>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</si>
  <si>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</si>
  <si>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</si>
  <si>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</si>
  <si>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</si>
  <si>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</si>
  <si>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</si>
  <si>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</si>
  <si>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</si>
  <si>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</si>
  <si>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</si>
  <si>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</si>
  <si>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</si>
  <si>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</si>
  <si>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</si>
  <si>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</si>
  <si>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</si>
  <si>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</si>
  <si>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</si>
  <si>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</si>
  <si>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</si>
  <si>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</si>
  <si>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</si>
  <si>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</si>
  <si>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</si>
  <si>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</si>
  <si>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</si>
  <si>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</si>
  <si>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</si>
  <si>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</si>
  <si>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</si>
  <si>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</si>
  <si>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</si>
  <si>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</si>
  <si>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</si>
  <si>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</si>
  <si>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</si>
  <si>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</si>
  <si>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</si>
  <si>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</si>
  <si>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</si>
  <si>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</si>
  <si>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</si>
  <si>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</si>
  <si>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</si>
  <si>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</si>
  <si>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</si>
  <si>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</si>
  <si>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</si>
  <si>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</si>
  <si>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</si>
  <si>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</si>
  <si>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</si>
  <si>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</si>
  <si>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</si>
  <si>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</si>
  <si>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</si>
  <si>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</si>
  <si>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</si>
  <si>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</si>
  <si>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</si>
  <si>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</si>
  <si>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</si>
  <si>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</si>
  <si>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</si>
  <si>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</si>
  <si>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</si>
  <si>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</si>
  <si>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</si>
  <si>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</si>
  <si>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</si>
  <si>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</si>
  <si>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</si>
  <si>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</si>
  <si>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</si>
  <si>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</si>
  <si>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</si>
  <si>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</si>
  <si>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</si>
  <si>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</si>
  <si>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</si>
  <si>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</si>
  <si>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</si>
  <si>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</si>
  <si>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</si>
  <si>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</si>
  <si>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</si>
  <si>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</si>
  <si>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</si>
  <si>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</si>
  <si>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</si>
  <si>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</si>
  <si>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</si>
  <si>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Brande Syd</t>
  </si>
  <si>
    <t>Afgift for ledningsført vand</t>
  </si>
  <si>
    <t>Afgift til Forsyningssekretariatet</t>
  </si>
  <si>
    <t>Ejendomsskat</t>
  </si>
  <si>
    <t>Tilbagebetaling af sambeskatningsbidrag, skattesagen</t>
  </si>
  <si>
    <t>Øvrige udgifter; vægt- og frekvensafgift</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</si>
  <si>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</si>
  <si>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</si>
  <si>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</si>
  <si>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</si>
  <si>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</si>
  <si>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</si>
  <si>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</si>
  <si>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</si>
  <si>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</si>
  <si>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</si>
  <si>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</si>
  <si>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</si>
  <si>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</si>
  <si>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Ingen projekter</t>
  </si>
  <si>
    <t>Generelt effektiviseringskrav - gammel</t>
  </si>
  <si>
    <t>Frivillige aftaler om dyrkningsrestriktioner</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</si>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</sst>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8">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10" fontId="8" fillId="8" borderId="1" xfId="4" applyNumberFormat="1" applyFont="1" applyFill="1" applyBorder="1" applyAlignment="1" applyProtection="1"/>
    <xf numFmtId="1" fontId="8" fillId="8" borderId="1" xfId="1" applyNumberFormat="1" applyFont="1" applyFill="1" applyBorder="1" applyProtection="1"/>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0" t="s">
        <v>4</v>
      </c>
      <c r="E6" s="80"/>
      <c r="F6" s="80"/>
      <c r="G6" s="80"/>
      <c r="H6" s="3"/>
      <c r="I6" s="1"/>
    </row>
    <row r="7" spans="1:9" ht="15" customHeight="1" x14ac:dyDescent="0.25">
      <c r="A7" s="1"/>
      <c r="B7" s="1"/>
      <c r="C7" s="3"/>
      <c r="D7" s="80"/>
      <c r="E7" s="80"/>
      <c r="F7" s="80"/>
      <c r="G7" s="80"/>
      <c r="H7" s="3"/>
      <c r="I7" s="1"/>
    </row>
    <row r="8" spans="1:9" ht="15.75" x14ac:dyDescent="0.25">
      <c r="A8" s="1"/>
      <c r="B8" s="1"/>
      <c r="C8" s="4"/>
      <c r="D8" s="85" t="s">
        <v>235</v>
      </c>
      <c r="E8" s="85"/>
      <c r="F8" s="85"/>
      <c r="G8" s="85"/>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4" t="s">
        <v>5</v>
      </c>
      <c r="E11" s="84"/>
      <c r="F11" s="84"/>
      <c r="G11" s="84"/>
      <c r="H11" s="5"/>
      <c r="I11" s="1"/>
    </row>
    <row r="12" spans="1:9" x14ac:dyDescent="0.25">
      <c r="A12" s="1"/>
      <c r="B12" s="1"/>
      <c r="C12" s="1"/>
      <c r="D12" s="1"/>
      <c r="E12" s="1"/>
      <c r="F12" s="1"/>
      <c r="G12" s="1"/>
      <c r="H12" s="1"/>
      <c r="I12" s="1"/>
    </row>
    <row r="13" spans="1:9" x14ac:dyDescent="0.25">
      <c r="A13" s="1"/>
      <c r="B13" s="1"/>
      <c r="C13" s="6" t="s">
        <v>6</v>
      </c>
      <c r="D13" s="77" t="s">
        <v>162</v>
      </c>
      <c r="E13" s="78"/>
      <c r="F13" s="78"/>
      <c r="G13" s="79"/>
      <c r="H13" s="1"/>
      <c r="I13" s="1"/>
    </row>
    <row r="14" spans="1:9" x14ac:dyDescent="0.25">
      <c r="A14" s="1"/>
      <c r="B14" s="1"/>
      <c r="C14" s="6" t="s">
        <v>14</v>
      </c>
      <c r="D14" s="77" t="s">
        <v>197</v>
      </c>
      <c r="E14" s="78"/>
      <c r="F14" s="78"/>
      <c r="G14" s="79"/>
      <c r="H14" s="1"/>
      <c r="I14" s="1"/>
    </row>
    <row r="15" spans="1:9" x14ac:dyDescent="0.25">
      <c r="A15" s="1"/>
      <c r="B15" s="1"/>
      <c r="C15" s="6" t="s">
        <v>30</v>
      </c>
      <c r="D15" s="77" t="s">
        <v>141</v>
      </c>
      <c r="E15" s="78"/>
      <c r="F15" s="78"/>
      <c r="G15" s="79"/>
      <c r="H15" s="1"/>
      <c r="I15" s="1"/>
    </row>
    <row r="16" spans="1:9" x14ac:dyDescent="0.25">
      <c r="A16" s="1"/>
      <c r="B16" s="1"/>
      <c r="C16" s="6" t="s">
        <v>31</v>
      </c>
      <c r="D16" s="77" t="s">
        <v>194</v>
      </c>
      <c r="E16" s="78"/>
      <c r="F16" s="78"/>
      <c r="G16" s="79"/>
      <c r="H16" s="1"/>
      <c r="I16" s="1"/>
    </row>
    <row r="17" spans="1:9" x14ac:dyDescent="0.25">
      <c r="A17" s="1"/>
      <c r="B17" s="1"/>
      <c r="C17" s="6" t="s">
        <v>102</v>
      </c>
      <c r="D17" s="77" t="s">
        <v>195</v>
      </c>
      <c r="E17" s="78"/>
      <c r="F17" s="78"/>
      <c r="G17" s="79"/>
      <c r="H17" s="1"/>
      <c r="I17" s="1"/>
    </row>
    <row r="18" spans="1:9" x14ac:dyDescent="0.25">
      <c r="A18" s="1"/>
      <c r="B18" s="1"/>
      <c r="C18" s="6" t="s">
        <v>86</v>
      </c>
      <c r="D18" s="86" t="s">
        <v>79</v>
      </c>
      <c r="E18" s="87"/>
      <c r="F18" s="87"/>
      <c r="G18" s="88"/>
      <c r="H18" s="1"/>
      <c r="I18" s="1"/>
    </row>
    <row r="19" spans="1:9" x14ac:dyDescent="0.25">
      <c r="A19" s="1"/>
      <c r="B19" s="1"/>
      <c r="C19" s="6" t="s">
        <v>87</v>
      </c>
      <c r="D19" s="86" t="s">
        <v>80</v>
      </c>
      <c r="E19" s="87"/>
      <c r="F19" s="87"/>
      <c r="G19" s="88"/>
      <c r="H19" s="1"/>
      <c r="I19" s="1"/>
    </row>
    <row r="20" spans="1:9" x14ac:dyDescent="0.25">
      <c r="A20" s="1"/>
      <c r="B20" s="1"/>
      <c r="C20" s="6" t="s">
        <v>7</v>
      </c>
      <c r="D20" s="86" t="s">
        <v>9</v>
      </c>
      <c r="E20" s="87"/>
      <c r="F20" s="87"/>
      <c r="G20" s="88"/>
      <c r="H20" s="1"/>
      <c r="I20" s="1"/>
    </row>
    <row r="21" spans="1:9" x14ac:dyDescent="0.25">
      <c r="A21" s="1"/>
      <c r="B21" s="1"/>
      <c r="C21" s="6" t="s">
        <v>88</v>
      </c>
      <c r="D21" s="92" t="s">
        <v>11</v>
      </c>
      <c r="E21" s="93"/>
      <c r="F21" s="93"/>
      <c r="G21" s="94"/>
      <c r="H21" s="1"/>
      <c r="I21" s="1"/>
    </row>
    <row r="22" spans="1:9" x14ac:dyDescent="0.25">
      <c r="A22" s="1"/>
      <c r="B22" s="1"/>
      <c r="C22" s="6" t="s">
        <v>73</v>
      </c>
      <c r="D22" s="81" t="s">
        <v>196</v>
      </c>
      <c r="E22" s="82"/>
      <c r="F22" s="82"/>
      <c r="G22" s="83"/>
      <c r="H22" s="1"/>
      <c r="I22" s="1"/>
    </row>
    <row r="23" spans="1:9" x14ac:dyDescent="0.25">
      <c r="A23" s="1"/>
      <c r="B23" s="1"/>
      <c r="C23" s="6" t="s">
        <v>8</v>
      </c>
      <c r="D23" s="81" t="s">
        <v>176</v>
      </c>
      <c r="E23" s="82"/>
      <c r="F23" s="82"/>
      <c r="G23" s="83"/>
      <c r="H23" s="1"/>
      <c r="I23" s="1"/>
    </row>
    <row r="24" spans="1:9" x14ac:dyDescent="0.25">
      <c r="A24" s="1"/>
      <c r="B24" s="1"/>
      <c r="C24" s="6" t="s">
        <v>172</v>
      </c>
      <c r="D24" s="81" t="s">
        <v>163</v>
      </c>
      <c r="E24" s="82"/>
      <c r="F24" s="82"/>
      <c r="G24" s="83"/>
      <c r="H24" s="1"/>
      <c r="I24" s="1"/>
    </row>
    <row r="25" spans="1:9" x14ac:dyDescent="0.25">
      <c r="A25" s="1"/>
      <c r="B25" s="1"/>
      <c r="C25" s="6" t="s">
        <v>173</v>
      </c>
      <c r="D25" s="81" t="s">
        <v>74</v>
      </c>
      <c r="E25" s="82"/>
      <c r="F25" s="82"/>
      <c r="G25" s="83"/>
      <c r="H25" s="1"/>
      <c r="I25" s="1"/>
    </row>
    <row r="26" spans="1:9" x14ac:dyDescent="0.25">
      <c r="A26" s="1"/>
      <c r="B26" s="1"/>
      <c r="C26" s="6" t="s">
        <v>174</v>
      </c>
      <c r="D26" s="81" t="s">
        <v>75</v>
      </c>
      <c r="E26" s="82"/>
      <c r="F26" s="82"/>
      <c r="G26" s="83"/>
      <c r="H26" s="1"/>
      <c r="I26" s="1"/>
    </row>
    <row r="27" spans="1:9" x14ac:dyDescent="0.25">
      <c r="A27" s="1"/>
      <c r="B27" s="1"/>
      <c r="C27" s="6" t="s">
        <v>89</v>
      </c>
      <c r="D27" s="81" t="s">
        <v>103</v>
      </c>
      <c r="E27" s="82"/>
      <c r="F27" s="82"/>
      <c r="G27" s="83"/>
      <c r="H27" s="1"/>
      <c r="I27" s="1"/>
    </row>
    <row r="28" spans="1:9" x14ac:dyDescent="0.25">
      <c r="A28" s="1"/>
      <c r="B28" s="1"/>
      <c r="C28" s="6" t="s">
        <v>83</v>
      </c>
      <c r="D28" s="81" t="s">
        <v>32</v>
      </c>
      <c r="E28" s="82"/>
      <c r="F28" s="82"/>
      <c r="G28" s="83"/>
      <c r="H28" s="1"/>
      <c r="I28" s="1"/>
    </row>
    <row r="29" spans="1:9" x14ac:dyDescent="0.25">
      <c r="A29" s="1"/>
      <c r="B29" s="1"/>
      <c r="C29" s="6" t="s">
        <v>175</v>
      </c>
      <c r="D29" s="89" t="s">
        <v>84</v>
      </c>
      <c r="E29" s="90"/>
      <c r="F29" s="90"/>
      <c r="G29" s="9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fNyuWlDd4OwlQjMwphg1OhFSxreY+cvg7RfEy/w46rgtPOk+fAyUgQminq3YVW7e3sRTzOyk3D+EWDd/W/6KCw==" saltValue="I6dgdb6qmIIfQJ/c3ZCaOg=="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5" t="s">
        <v>92</v>
      </c>
      <c r="C3" s="95"/>
      <c r="D3" s="95"/>
      <c r="E3" s="1"/>
      <c r="F3" s="1"/>
    </row>
    <row r="4" spans="1:6" ht="15" customHeight="1" x14ac:dyDescent="0.25">
      <c r="A4" s="1"/>
      <c r="B4" s="95"/>
      <c r="C4" s="95"/>
      <c r="D4" s="95"/>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5" t="s">
        <v>226</v>
      </c>
      <c r="C8" s="106"/>
      <c r="D8" s="107"/>
      <c r="E8" s="1"/>
      <c r="F8" s="1"/>
    </row>
    <row r="9" spans="1:6" ht="15" customHeight="1" x14ac:dyDescent="0.25">
      <c r="A9" s="1"/>
      <c r="B9" s="32" t="s">
        <v>28</v>
      </c>
      <c r="C9" s="11" t="s">
        <v>212</v>
      </c>
      <c r="D9" s="11"/>
      <c r="E9" s="1"/>
      <c r="F9" s="1"/>
    </row>
    <row r="10" spans="1:6" ht="15" customHeight="1" x14ac:dyDescent="0.25">
      <c r="A10" s="1"/>
      <c r="B10" s="69" t="s">
        <v>243</v>
      </c>
      <c r="C10" s="9">
        <v>5894263</v>
      </c>
      <c r="D10" s="14" t="s">
        <v>3</v>
      </c>
      <c r="E10" s="1"/>
      <c r="F10" s="1"/>
    </row>
    <row r="11" spans="1:6" x14ac:dyDescent="0.25">
      <c r="A11" s="1"/>
      <c r="B11" s="69" t="s">
        <v>244</v>
      </c>
      <c r="C11" s="9">
        <v>69131</v>
      </c>
      <c r="D11" s="14" t="s">
        <v>3</v>
      </c>
      <c r="E11" s="1"/>
      <c r="F11" s="1"/>
    </row>
    <row r="12" spans="1:6" x14ac:dyDescent="0.25">
      <c r="A12" s="1"/>
      <c r="B12" s="69" t="s">
        <v>245</v>
      </c>
      <c r="C12" s="9">
        <v>14947</v>
      </c>
      <c r="D12" s="14" t="s">
        <v>3</v>
      </c>
      <c r="E12" s="1"/>
      <c r="F12" s="1"/>
    </row>
    <row r="13" spans="1:6" x14ac:dyDescent="0.25">
      <c r="A13" s="1"/>
      <c r="B13" s="69" t="s">
        <v>246</v>
      </c>
      <c r="C13" s="9">
        <v>27415</v>
      </c>
      <c r="D13" s="14" t="s">
        <v>3</v>
      </c>
      <c r="E13" s="1"/>
      <c r="F13" s="1"/>
    </row>
    <row r="14" spans="1:6" x14ac:dyDescent="0.25">
      <c r="A14" s="1"/>
      <c r="B14" s="69" t="s">
        <v>247</v>
      </c>
      <c r="C14" s="9">
        <v>14644</v>
      </c>
      <c r="D14" s="14" t="s">
        <v>3</v>
      </c>
      <c r="E14" s="1"/>
      <c r="F14" s="1"/>
    </row>
    <row r="15" spans="1:6" x14ac:dyDescent="0.25">
      <c r="A15" s="1"/>
      <c r="B15" s="69" t="s">
        <v>263</v>
      </c>
      <c r="C15" s="9">
        <v>252500</v>
      </c>
      <c r="D15" s="14" t="s">
        <v>3</v>
      </c>
      <c r="E15" s="1"/>
      <c r="F15" s="1"/>
    </row>
    <row r="16" spans="1:6" x14ac:dyDescent="0.25">
      <c r="A16" s="1"/>
      <c r="B16" s="69"/>
      <c r="C16" s="9"/>
      <c r="D16" s="14" t="s">
        <v>3</v>
      </c>
      <c r="E16" s="1"/>
      <c r="F16" s="1"/>
    </row>
    <row r="17" spans="1:6" x14ac:dyDescent="0.25">
      <c r="A17" s="1"/>
      <c r="B17" s="69"/>
      <c r="C17" s="9"/>
      <c r="D17" s="14" t="s">
        <v>3</v>
      </c>
      <c r="E17" s="1"/>
      <c r="F17" s="1"/>
    </row>
    <row r="18" spans="1:6" x14ac:dyDescent="0.25">
      <c r="A18" s="1"/>
      <c r="B18" s="69"/>
      <c r="C18" s="9"/>
      <c r="D18" s="14" t="s">
        <v>3</v>
      </c>
      <c r="E18" s="1"/>
      <c r="F18" s="1"/>
    </row>
    <row r="19" spans="1:6" x14ac:dyDescent="0.25">
      <c r="A19" s="1"/>
      <c r="B19" s="52" t="s">
        <v>213</v>
      </c>
      <c r="C19" s="12">
        <f>SUM(C10:C18)</f>
        <v>6272900</v>
      </c>
      <c r="D19" s="13" t="s">
        <v>3</v>
      </c>
      <c r="E19" s="1"/>
      <c r="F19" s="1"/>
    </row>
    <row r="20" spans="1:6" x14ac:dyDescent="0.25">
      <c r="A20" s="1"/>
      <c r="B20" s="52" t="s">
        <v>214</v>
      </c>
      <c r="C20" s="12">
        <f>C19*(1+'Fane 13. Nøgletal'!C16)^2</f>
        <v>7327554.1458559996</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OXYGf/oaTthIM3fxRJcZuE5bClC4bb3jhzjyqjSl3uce7d0wsddnw27BsYOktDq9weV3GFPSoX1eBg6IA0IFYQ==" saltValue="FEj3jtlIYWBV17qMXVKBG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47"/>
  <sheetViews>
    <sheetView showGridLines="0" view="pageLayout" zoomScale="86" zoomScaleNormal="100" zoomScalePageLayoutView="86"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8" t="s">
        <v>227</v>
      </c>
      <c r="C3" s="98"/>
      <c r="D3" s="98"/>
      <c r="E3" s="98"/>
      <c r="F3" s="98"/>
      <c r="G3" s="1"/>
    </row>
    <row r="4" spans="1:7" ht="15" customHeight="1" x14ac:dyDescent="0.25">
      <c r="A4" s="1"/>
      <c r="B4" s="98"/>
      <c r="C4" s="98"/>
      <c r="D4" s="98"/>
      <c r="E4" s="98"/>
      <c r="F4" s="98"/>
      <c r="G4" s="1"/>
    </row>
    <row r="5" spans="1:7" ht="15" customHeight="1" x14ac:dyDescent="0.25">
      <c r="A5" s="1"/>
      <c r="B5" s="62"/>
      <c r="C5" s="62"/>
      <c r="D5" s="62"/>
      <c r="E5" s="62"/>
      <c r="F5" s="62"/>
      <c r="G5" s="1"/>
    </row>
    <row r="6" spans="1:7" ht="15" customHeight="1" x14ac:dyDescent="0.25">
      <c r="A6" s="1"/>
      <c r="B6" s="62"/>
      <c r="C6" s="62"/>
      <c r="D6" s="62"/>
      <c r="E6" s="62"/>
      <c r="F6" s="62"/>
      <c r="G6" s="1"/>
    </row>
    <row r="7" spans="1:7" x14ac:dyDescent="0.25">
      <c r="A7" s="1"/>
      <c r="B7" s="1"/>
      <c r="C7" s="1"/>
      <c r="D7" s="1"/>
      <c r="E7" s="1"/>
      <c r="F7" s="1"/>
      <c r="G7" s="1"/>
    </row>
    <row r="8" spans="1:7" x14ac:dyDescent="0.25">
      <c r="A8" s="1"/>
      <c r="B8" s="105" t="s">
        <v>248</v>
      </c>
      <c r="C8" s="106"/>
      <c r="D8" s="106"/>
      <c r="E8" s="106"/>
      <c r="F8" s="107"/>
      <c r="G8" s="1"/>
    </row>
    <row r="9" spans="1:7" x14ac:dyDescent="0.25">
      <c r="A9" s="1"/>
      <c r="B9" s="99" t="s">
        <v>249</v>
      </c>
      <c r="C9" s="100"/>
      <c r="D9" s="101"/>
      <c r="E9" s="28">
        <v>793780.51088197529</v>
      </c>
      <c r="F9" s="14" t="s">
        <v>3</v>
      </c>
      <c r="G9" s="1"/>
    </row>
    <row r="10" spans="1:7" x14ac:dyDescent="0.25">
      <c r="A10" s="1"/>
      <c r="B10" s="52"/>
      <c r="C10" s="53"/>
      <c r="D10" s="53"/>
      <c r="E10" s="53"/>
      <c r="F10" s="19"/>
      <c r="G10" s="1"/>
    </row>
    <row r="11" spans="1:7" ht="52.5" customHeight="1" x14ac:dyDescent="0.25">
      <c r="A11" s="1"/>
      <c r="B11" s="117" t="s">
        <v>250</v>
      </c>
      <c r="C11" s="118"/>
      <c r="D11" s="118"/>
      <c r="E11" s="118"/>
      <c r="F11" s="119"/>
      <c r="G11" s="1"/>
    </row>
    <row r="12" spans="1:7" x14ac:dyDescent="0.25">
      <c r="A12" s="1"/>
      <c r="B12" s="1"/>
      <c r="C12" s="1"/>
      <c r="D12" s="1"/>
      <c r="E12" s="1"/>
      <c r="F12" s="1"/>
      <c r="G12" s="1"/>
    </row>
    <row r="13" spans="1:7" x14ac:dyDescent="0.25">
      <c r="A13" s="1"/>
      <c r="B13" s="105" t="s">
        <v>140</v>
      </c>
      <c r="C13" s="106"/>
      <c r="D13" s="106"/>
      <c r="E13" s="106"/>
      <c r="F13" s="107"/>
      <c r="G13" s="1"/>
    </row>
    <row r="14" spans="1:7" x14ac:dyDescent="0.25">
      <c r="A14" s="1"/>
      <c r="B14" s="99" t="s">
        <v>251</v>
      </c>
      <c r="C14" s="100"/>
      <c r="D14" s="101"/>
      <c r="E14" s="9">
        <v>0</v>
      </c>
      <c r="F14" s="14" t="s">
        <v>3</v>
      </c>
      <c r="G14" s="1"/>
    </row>
    <row r="15" spans="1:7" x14ac:dyDescent="0.25">
      <c r="A15" s="1"/>
      <c r="B15" s="99" t="s">
        <v>252</v>
      </c>
      <c r="C15" s="100"/>
      <c r="D15" s="101"/>
      <c r="E15" s="9">
        <v>0</v>
      </c>
      <c r="F15" s="14" t="s">
        <v>3</v>
      </c>
      <c r="G15" s="1"/>
    </row>
    <row r="16" spans="1:7" x14ac:dyDescent="0.25">
      <c r="A16" s="1"/>
      <c r="B16" s="52"/>
      <c r="C16" s="53"/>
      <c r="D16" s="53"/>
      <c r="E16" s="53"/>
      <c r="F16" s="19"/>
      <c r="G16" s="1"/>
    </row>
    <row r="17" spans="1:7" ht="29.25" customHeight="1" x14ac:dyDescent="0.25">
      <c r="A17" s="1"/>
      <c r="B17" s="117" t="s">
        <v>253</v>
      </c>
      <c r="C17" s="118"/>
      <c r="D17" s="118"/>
      <c r="E17" s="118"/>
      <c r="F17" s="119"/>
      <c r="G17" s="1"/>
    </row>
    <row r="18" spans="1:7" x14ac:dyDescent="0.25">
      <c r="A18" s="1"/>
      <c r="B18" s="1"/>
      <c r="C18" s="1"/>
      <c r="D18" s="1"/>
      <c r="E18" s="1"/>
      <c r="F18" s="1"/>
      <c r="G18" s="1"/>
    </row>
    <row r="19" spans="1:7" x14ac:dyDescent="0.25">
      <c r="A19" s="1"/>
      <c r="B19" s="63" t="s">
        <v>254</v>
      </c>
      <c r="C19" s="64"/>
      <c r="D19" s="64"/>
      <c r="E19" s="64"/>
      <c r="F19" s="65"/>
      <c r="G19" s="1"/>
    </row>
    <row r="20" spans="1:7" x14ac:dyDescent="0.25">
      <c r="A20" s="1"/>
      <c r="B20" s="66" t="s">
        <v>255</v>
      </c>
      <c r="C20" s="67"/>
      <c r="D20" s="68"/>
      <c r="E20" s="9">
        <v>11591084.339207027</v>
      </c>
      <c r="F20" s="14" t="s">
        <v>3</v>
      </c>
      <c r="G20" s="1"/>
    </row>
    <row r="21" spans="1:7" x14ac:dyDescent="0.25">
      <c r="A21" s="1"/>
      <c r="B21" s="66" t="s">
        <v>256</v>
      </c>
      <c r="C21" s="67"/>
      <c r="D21" s="68"/>
      <c r="E21" s="9">
        <v>11329372</v>
      </c>
      <c r="F21" s="14" t="s">
        <v>3</v>
      </c>
      <c r="G21" s="1"/>
    </row>
    <row r="22" spans="1:7" x14ac:dyDescent="0.25">
      <c r="A22" s="1"/>
      <c r="B22" s="66" t="s">
        <v>29</v>
      </c>
      <c r="C22" s="67"/>
      <c r="D22" s="68"/>
      <c r="E22" s="9">
        <v>0</v>
      </c>
      <c r="F22" s="14" t="s">
        <v>3</v>
      </c>
      <c r="G22" s="1"/>
    </row>
    <row r="23" spans="1:7" x14ac:dyDescent="0.25">
      <c r="A23" s="1"/>
      <c r="B23" s="71" t="s">
        <v>257</v>
      </c>
      <c r="C23" s="72"/>
      <c r="D23" s="73"/>
      <c r="E23" s="10">
        <f>E20-(E21-E22)</f>
        <v>261712.33920702711</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5" t="s">
        <v>258</v>
      </c>
      <c r="C26" s="106"/>
      <c r="D26" s="106"/>
      <c r="E26" s="106"/>
      <c r="F26" s="107"/>
      <c r="G26" s="1"/>
    </row>
    <row r="27" spans="1:7" x14ac:dyDescent="0.25">
      <c r="A27" s="1"/>
      <c r="B27" s="124" t="s">
        <v>259</v>
      </c>
      <c r="C27" s="125"/>
      <c r="D27" s="126"/>
      <c r="E27" s="58">
        <f>IF(AND(E15&lt;0,E23&gt;0,ABS(SUM(E14:E15))&lt;E23),ABS(E14),IF(AND(E15&lt;0,E23&gt;0,ABS(SUM(E14:E15))&gt;E23),SUM(E14,E23),0))</f>
        <v>0</v>
      </c>
      <c r="F27" s="17" t="s">
        <v>3</v>
      </c>
      <c r="G27" s="1"/>
    </row>
    <row r="28" spans="1:7" x14ac:dyDescent="0.25">
      <c r="A28" s="1"/>
      <c r="B28" s="105"/>
      <c r="C28" s="106"/>
      <c r="D28" s="106"/>
      <c r="E28" s="106"/>
      <c r="F28" s="107"/>
      <c r="G28" s="1"/>
    </row>
    <row r="29" spans="1:7" x14ac:dyDescent="0.25">
      <c r="A29" s="1"/>
      <c r="B29" s="1"/>
      <c r="C29" s="1"/>
      <c r="D29" s="1"/>
      <c r="E29" s="1"/>
      <c r="F29" s="1"/>
      <c r="G29" s="1"/>
    </row>
    <row r="30" spans="1:7" x14ac:dyDescent="0.25">
      <c r="A30" s="1"/>
      <c r="B30" s="105" t="s">
        <v>260</v>
      </c>
      <c r="C30" s="106"/>
      <c r="D30" s="106"/>
      <c r="E30" s="106"/>
      <c r="F30" s="107"/>
      <c r="G30" s="1"/>
    </row>
    <row r="31" spans="1:7" x14ac:dyDescent="0.25">
      <c r="A31" s="1"/>
      <c r="B31" s="127" t="s">
        <v>117</v>
      </c>
      <c r="C31" s="128"/>
      <c r="D31" s="129"/>
      <c r="E31" s="59">
        <f>IF(AND(E9&gt;0,(E9+E23)&gt;0),0,IF(AND(E9&gt;0,(E9+E23)&lt;0),(E9+E23),IF(AND(E9&lt;0,E23&lt;0),E23,0)))</f>
        <v>0</v>
      </c>
      <c r="F31" s="14" t="s">
        <v>3</v>
      </c>
      <c r="G31" s="1"/>
    </row>
    <row r="32" spans="1:7" x14ac:dyDescent="0.25">
      <c r="A32" s="1"/>
      <c r="B32" s="127" t="s">
        <v>85</v>
      </c>
      <c r="C32" s="128"/>
      <c r="D32" s="129"/>
      <c r="E32" s="9">
        <v>2</v>
      </c>
      <c r="F32" s="14" t="s">
        <v>18</v>
      </c>
      <c r="G32" s="1"/>
    </row>
    <row r="33" spans="1:7" x14ac:dyDescent="0.25">
      <c r="A33" s="1"/>
      <c r="B33" s="120" t="s">
        <v>116</v>
      </c>
      <c r="C33" s="120"/>
      <c r="D33" s="120"/>
      <c r="E33" s="58">
        <f>E31/E32</f>
        <v>0</v>
      </c>
      <c r="F33" s="17" t="s">
        <v>3</v>
      </c>
      <c r="G33" s="1"/>
    </row>
    <row r="34" spans="1:7" x14ac:dyDescent="0.25">
      <c r="A34" s="1"/>
      <c r="B34" s="121"/>
      <c r="C34" s="122"/>
      <c r="D34" s="122"/>
      <c r="E34" s="122"/>
      <c r="F34" s="123"/>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ht="12" customHeight="1" x14ac:dyDescent="0.25">
      <c r="A44" s="1"/>
      <c r="B44" s="1"/>
      <c r="C44" s="1"/>
      <c r="D44" s="1"/>
      <c r="E44" s="1"/>
      <c r="F44" s="1"/>
      <c r="G44" s="1"/>
    </row>
    <row r="45" spans="1:7" hidden="1"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t/5gintDwR79W58wh4Jv2U/3AIfcGPv6fVidnscHPYXltgsAvkKq2BX9XB1XbfAJ+H28km+3a407eRbqek7pjA==" saltValue="SML5ppYkaOHCSJGXYdgSNg==" spinCount="100000" sheet="1" objects="1" scenarios="1"/>
  <mergeCells count="16">
    <mergeCell ref="B33:D33"/>
    <mergeCell ref="B34:F34"/>
    <mergeCell ref="B14:D14"/>
    <mergeCell ref="B15:D15"/>
    <mergeCell ref="B17:F17"/>
    <mergeCell ref="B26:F26"/>
    <mergeCell ref="B27:D27"/>
    <mergeCell ref="B31:D31"/>
    <mergeCell ref="B28:F28"/>
    <mergeCell ref="B30:F30"/>
    <mergeCell ref="B32:D32"/>
    <mergeCell ref="B13:F13"/>
    <mergeCell ref="B3:F4"/>
    <mergeCell ref="B8:F8"/>
    <mergeCell ref="B9:D9"/>
    <mergeCell ref="B11:F11"/>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5" t="s">
        <v>183</v>
      </c>
      <c r="C3" s="95"/>
      <c r="D3" s="95"/>
      <c r="E3" s="95"/>
      <c r="F3" s="95"/>
      <c r="G3" s="95"/>
      <c r="H3" s="95"/>
      <c r="I3" s="1"/>
    </row>
    <row r="4" spans="1:9" ht="15" customHeight="1" x14ac:dyDescent="0.25">
      <c r="A4" s="1"/>
      <c r="B4" s="95"/>
      <c r="C4" s="95"/>
      <c r="D4" s="95"/>
      <c r="E4" s="95"/>
      <c r="F4" s="95"/>
      <c r="G4" s="95"/>
      <c r="H4" s="95"/>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5" t="s">
        <v>184</v>
      </c>
      <c r="C8" s="106"/>
      <c r="D8" s="106"/>
      <c r="E8" s="106"/>
      <c r="F8" s="106"/>
      <c r="G8" s="106"/>
      <c r="H8" s="107"/>
      <c r="I8" s="1"/>
    </row>
    <row r="9" spans="1:9" ht="15" customHeight="1" x14ac:dyDescent="0.25">
      <c r="A9" s="1"/>
      <c r="B9" s="130" t="s">
        <v>234</v>
      </c>
      <c r="C9" s="131"/>
      <c r="D9" s="131"/>
      <c r="E9" s="131"/>
      <c r="F9" s="131"/>
      <c r="G9" s="131"/>
      <c r="H9" s="132"/>
      <c r="I9" s="1"/>
    </row>
    <row r="10" spans="1:9" x14ac:dyDescent="0.25">
      <c r="A10" s="1"/>
      <c r="B10" s="133" t="s">
        <v>185</v>
      </c>
      <c r="C10" s="134"/>
      <c r="D10" s="134"/>
      <c r="E10" s="134"/>
      <c r="F10" s="135"/>
      <c r="G10" s="45"/>
      <c r="H10" s="9" t="s">
        <v>3</v>
      </c>
      <c r="I10" s="1"/>
    </row>
    <row r="11" spans="1:9" x14ac:dyDescent="0.25">
      <c r="A11" s="1"/>
      <c r="B11" s="133" t="s">
        <v>186</v>
      </c>
      <c r="C11" s="134"/>
      <c r="D11" s="134"/>
      <c r="E11" s="134"/>
      <c r="F11" s="135"/>
      <c r="G11" s="45"/>
      <c r="H11" s="9" t="s">
        <v>3</v>
      </c>
      <c r="I11" s="1"/>
    </row>
    <row r="12" spans="1:9" x14ac:dyDescent="0.25">
      <c r="A12" s="1"/>
      <c r="B12" s="133" t="s">
        <v>187</v>
      </c>
      <c r="C12" s="134"/>
      <c r="D12" s="134"/>
      <c r="E12" s="134"/>
      <c r="F12" s="135"/>
      <c r="G12" s="9"/>
      <c r="H12" s="9" t="s">
        <v>3</v>
      </c>
      <c r="I12" s="1"/>
    </row>
    <row r="13" spans="1:9" x14ac:dyDescent="0.25">
      <c r="A13" s="1"/>
      <c r="B13" s="133" t="s">
        <v>188</v>
      </c>
      <c r="C13" s="134"/>
      <c r="D13" s="134"/>
      <c r="E13" s="134"/>
      <c r="F13" s="135"/>
      <c r="G13" s="9"/>
      <c r="H13" s="9" t="s">
        <v>3</v>
      </c>
      <c r="I13" s="1"/>
    </row>
    <row r="14" spans="1:9" x14ac:dyDescent="0.25">
      <c r="A14" s="1"/>
      <c r="B14" s="133" t="s">
        <v>189</v>
      </c>
      <c r="C14" s="134"/>
      <c r="D14" s="134"/>
      <c r="E14" s="134"/>
      <c r="F14" s="135"/>
      <c r="G14" s="9"/>
      <c r="H14" s="9" t="s">
        <v>3</v>
      </c>
      <c r="I14" s="1"/>
    </row>
    <row r="15" spans="1:9" x14ac:dyDescent="0.25">
      <c r="A15" s="1"/>
      <c r="B15" s="133" t="s">
        <v>190</v>
      </c>
      <c r="C15" s="134"/>
      <c r="D15" s="134"/>
      <c r="E15" s="134"/>
      <c r="F15" s="135"/>
      <c r="G15" s="9"/>
      <c r="H15" s="9" t="s">
        <v>3</v>
      </c>
      <c r="I15" s="1"/>
    </row>
    <row r="16" spans="1:9" x14ac:dyDescent="0.25">
      <c r="A16" s="1"/>
      <c r="B16" s="133" t="s">
        <v>191</v>
      </c>
      <c r="C16" s="134"/>
      <c r="D16" s="134"/>
      <c r="E16" s="134"/>
      <c r="F16" s="135"/>
      <c r="G16" s="9"/>
      <c r="H16" s="9" t="s">
        <v>3</v>
      </c>
      <c r="I16" s="1"/>
    </row>
    <row r="17" spans="1:9" x14ac:dyDescent="0.25">
      <c r="A17" s="1"/>
      <c r="B17" s="133" t="s">
        <v>192</v>
      </c>
      <c r="C17" s="134"/>
      <c r="D17" s="134"/>
      <c r="E17" s="134"/>
      <c r="F17" s="135"/>
      <c r="G17" s="9"/>
      <c r="H17" s="9" t="s">
        <v>3</v>
      </c>
      <c r="I17" s="1"/>
    </row>
    <row r="18" spans="1:9" x14ac:dyDescent="0.25">
      <c r="A18" s="1"/>
      <c r="B18" s="105" t="s">
        <v>193</v>
      </c>
      <c r="C18" s="106"/>
      <c r="D18" s="106"/>
      <c r="E18" s="106"/>
      <c r="F18" s="107"/>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z1f5sVyvLEZ70seNeKXoA/CuSqTMgJiLxt8koTdy3uTlAdN6qCejoTbIVrRKxkw6fgxHkBgOIzW/e7mJA3Z8tw==" saltValue="1+RculhhYfXpwDxRMK54j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5" t="s">
        <v>177</v>
      </c>
      <c r="C3" s="95"/>
      <c r="D3" s="95"/>
      <c r="E3" s="95"/>
      <c r="F3" s="95"/>
      <c r="G3" s="95"/>
      <c r="H3" s="95"/>
      <c r="I3" s="95"/>
      <c r="J3" s="95"/>
      <c r="K3" s="95"/>
      <c r="L3" s="1"/>
    </row>
    <row r="4" spans="1:12" ht="15" customHeight="1" x14ac:dyDescent="0.25">
      <c r="A4" s="1"/>
      <c r="B4" s="95"/>
      <c r="C4" s="95"/>
      <c r="D4" s="95"/>
      <c r="E4" s="95"/>
      <c r="F4" s="95"/>
      <c r="G4" s="95"/>
      <c r="H4" s="95"/>
      <c r="I4" s="95"/>
      <c r="J4" s="95"/>
      <c r="K4" s="9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5" t="s">
        <v>155</v>
      </c>
      <c r="C8" s="106"/>
      <c r="D8" s="106"/>
      <c r="E8" s="106"/>
      <c r="F8" s="106"/>
      <c r="G8" s="106"/>
      <c r="H8" s="106"/>
      <c r="I8" s="106"/>
      <c r="J8" s="106"/>
      <c r="K8" s="107"/>
      <c r="L8" s="1"/>
    </row>
    <row r="9" spans="1:12" ht="39.75" customHeight="1" x14ac:dyDescent="0.25">
      <c r="A9" s="1"/>
      <c r="B9" s="18" t="s">
        <v>0</v>
      </c>
      <c r="C9" s="18" t="s">
        <v>1</v>
      </c>
      <c r="D9" s="136" t="s">
        <v>170</v>
      </c>
      <c r="E9" s="137"/>
      <c r="F9" s="136" t="s">
        <v>2</v>
      </c>
      <c r="G9" s="137"/>
      <c r="H9" s="136" t="s">
        <v>171</v>
      </c>
      <c r="I9" s="137"/>
      <c r="J9" s="136" t="s">
        <v>26</v>
      </c>
      <c r="K9" s="137"/>
      <c r="L9" s="1"/>
    </row>
    <row r="10" spans="1:12" x14ac:dyDescent="0.25">
      <c r="A10" s="1"/>
      <c r="B10" s="76" t="s">
        <v>261</v>
      </c>
      <c r="C10" s="31"/>
      <c r="D10" s="9"/>
      <c r="E10" s="14" t="s">
        <v>3</v>
      </c>
      <c r="F10" s="22">
        <f>IFERROR(D10/C10,0)</f>
        <v>0</v>
      </c>
      <c r="G10" s="14" t="s">
        <v>3</v>
      </c>
      <c r="H10" s="9"/>
      <c r="I10" s="14" t="s">
        <v>3</v>
      </c>
      <c r="J10" s="9"/>
      <c r="K10" s="14" t="s">
        <v>3</v>
      </c>
      <c r="L10" s="1"/>
    </row>
    <row r="11" spans="1:12" x14ac:dyDescent="0.25">
      <c r="A11" s="1"/>
      <c r="B11" s="76"/>
      <c r="C11" s="31"/>
      <c r="D11" s="9"/>
      <c r="E11" s="14" t="s">
        <v>3</v>
      </c>
      <c r="F11" s="22">
        <f t="shared" ref="F11:F16" si="0">IFERROR(D11/C11,0)</f>
        <v>0</v>
      </c>
      <c r="G11" s="14" t="s">
        <v>3</v>
      </c>
      <c r="H11" s="9"/>
      <c r="I11" s="14" t="s">
        <v>3</v>
      </c>
      <c r="J11" s="9"/>
      <c r="K11" s="14" t="s">
        <v>3</v>
      </c>
      <c r="L11" s="1"/>
    </row>
    <row r="12" spans="1:12" x14ac:dyDescent="0.25">
      <c r="A12" s="1"/>
      <c r="B12" s="76"/>
      <c r="C12" s="31"/>
      <c r="D12" s="9"/>
      <c r="E12" s="14" t="s">
        <v>3</v>
      </c>
      <c r="F12" s="22">
        <f t="shared" si="0"/>
        <v>0</v>
      </c>
      <c r="G12" s="14" t="s">
        <v>3</v>
      </c>
      <c r="H12" s="9"/>
      <c r="I12" s="14" t="s">
        <v>3</v>
      </c>
      <c r="J12" s="9"/>
      <c r="K12" s="14" t="s">
        <v>3</v>
      </c>
      <c r="L12" s="1"/>
    </row>
    <row r="13" spans="1:12" x14ac:dyDescent="0.25">
      <c r="A13" s="1"/>
      <c r="B13" s="76"/>
      <c r="C13" s="31"/>
      <c r="D13" s="9"/>
      <c r="E13" s="14" t="s">
        <v>3</v>
      </c>
      <c r="F13" s="22">
        <f t="shared" si="0"/>
        <v>0</v>
      </c>
      <c r="G13" s="14" t="s">
        <v>3</v>
      </c>
      <c r="H13" s="9"/>
      <c r="I13" s="14" t="s">
        <v>3</v>
      </c>
      <c r="J13" s="9"/>
      <c r="K13" s="14" t="s">
        <v>3</v>
      </c>
      <c r="L13" s="1"/>
    </row>
    <row r="14" spans="1:12" x14ac:dyDescent="0.25">
      <c r="A14" s="1"/>
      <c r="B14" s="76"/>
      <c r="C14" s="31"/>
      <c r="D14" s="9"/>
      <c r="E14" s="14" t="s">
        <v>3</v>
      </c>
      <c r="F14" s="22">
        <f t="shared" si="0"/>
        <v>0</v>
      </c>
      <c r="G14" s="14" t="s">
        <v>3</v>
      </c>
      <c r="H14" s="9"/>
      <c r="I14" s="14" t="s">
        <v>3</v>
      </c>
      <c r="J14" s="9"/>
      <c r="K14" s="14" t="s">
        <v>3</v>
      </c>
      <c r="L14" s="1"/>
    </row>
    <row r="15" spans="1:12" x14ac:dyDescent="0.25">
      <c r="A15" s="1"/>
      <c r="B15" s="76"/>
      <c r="C15" s="31"/>
      <c r="D15" s="9"/>
      <c r="E15" s="14" t="s">
        <v>3</v>
      </c>
      <c r="F15" s="22">
        <f t="shared" si="0"/>
        <v>0</v>
      </c>
      <c r="G15" s="14" t="s">
        <v>3</v>
      </c>
      <c r="H15" s="9"/>
      <c r="I15" s="14" t="s">
        <v>3</v>
      </c>
      <c r="J15" s="9"/>
      <c r="K15" s="14" t="s">
        <v>3</v>
      </c>
      <c r="L15" s="1"/>
    </row>
    <row r="16" spans="1:12" x14ac:dyDescent="0.25">
      <c r="A16" s="1"/>
      <c r="B16" s="76"/>
      <c r="C16" s="31"/>
      <c r="D16" s="9"/>
      <c r="E16" s="14" t="s">
        <v>3</v>
      </c>
      <c r="F16" s="22">
        <f t="shared" si="0"/>
        <v>0</v>
      </c>
      <c r="G16" s="14" t="s">
        <v>3</v>
      </c>
      <c r="H16" s="9"/>
      <c r="I16" s="14" t="s">
        <v>3</v>
      </c>
      <c r="J16" s="9"/>
      <c r="K16" s="14" t="s">
        <v>3</v>
      </c>
      <c r="L16" s="1"/>
    </row>
    <row r="17" spans="1:12" x14ac:dyDescent="0.25">
      <c r="A17" s="1"/>
      <c r="B17" s="52" t="s">
        <v>215</v>
      </c>
      <c r="C17" s="53"/>
      <c r="D17" s="19"/>
      <c r="E17" s="65"/>
      <c r="F17" s="12">
        <f>SUM(F10:F16)</f>
        <v>0</v>
      </c>
      <c r="G17" s="13" t="s">
        <v>3</v>
      </c>
      <c r="H17" s="12">
        <f>SUM(H10:H16)</f>
        <v>0</v>
      </c>
      <c r="I17" s="13" t="s">
        <v>3</v>
      </c>
      <c r="J17" s="12">
        <f>SUM(J10:J16)</f>
        <v>0</v>
      </c>
      <c r="K17" s="13" t="s">
        <v>3</v>
      </c>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x14ac:dyDescent="0.25">
      <c r="A49" s="44"/>
      <c r="B49" s="44"/>
      <c r="C49" s="44"/>
      <c r="D49" s="44"/>
      <c r="E49" s="44"/>
      <c r="F49" s="44"/>
      <c r="G49" s="44"/>
      <c r="H49" s="44"/>
      <c r="I49" s="44"/>
      <c r="J49" s="44"/>
      <c r="K49" s="44"/>
      <c r="L49" s="44"/>
    </row>
    <row r="50" spans="1:12" x14ac:dyDescent="0.25">
      <c r="A50" s="44"/>
      <c r="B50" s="44"/>
      <c r="C50" s="44"/>
      <c r="D50" s="44"/>
      <c r="E50" s="44"/>
      <c r="F50" s="44"/>
      <c r="G50" s="44"/>
      <c r="H50" s="44"/>
      <c r="I50" s="44"/>
      <c r="J50" s="44"/>
      <c r="K50" s="44"/>
      <c r="L50" s="44"/>
    </row>
    <row r="51" spans="1:12" x14ac:dyDescent="0.25">
      <c r="A51" s="44"/>
      <c r="B51" s="44"/>
      <c r="C51" s="44"/>
      <c r="D51" s="44"/>
      <c r="E51" s="44"/>
      <c r="F51" s="44"/>
      <c r="G51" s="44"/>
      <c r="H51" s="44"/>
      <c r="I51" s="44"/>
      <c r="J51" s="44"/>
      <c r="K51" s="44"/>
      <c r="L51" s="44"/>
    </row>
    <row r="52" spans="1:12" x14ac:dyDescent="0.25">
      <c r="A52" s="44"/>
      <c r="B52" s="44"/>
      <c r="C52" s="44"/>
      <c r="D52" s="44"/>
      <c r="E52" s="44"/>
      <c r="F52" s="44"/>
      <c r="G52" s="44"/>
      <c r="H52" s="44"/>
      <c r="I52" s="44"/>
      <c r="J52" s="44"/>
      <c r="K52" s="44"/>
      <c r="L52" s="44"/>
    </row>
  </sheetData>
  <sheetProtection algorithmName="SHA-512" hashValue="V5IKsps6vvpNc7kebPvnQQDjPKCF54AB357mCPjr/EJ/aEN1L0UvgkwxbLw/KymtupgLtxcLWn2LiFZwGkqgAQ==" saltValue="FMzFLU3EmZaXBrsHpcV4c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178</v>
      </c>
      <c r="C3" s="95"/>
      <c r="D3" s="95"/>
      <c r="E3" s="95"/>
      <c r="F3" s="95"/>
      <c r="G3" s="1"/>
    </row>
    <row r="4" spans="1:7" ht="15" customHeight="1" x14ac:dyDescent="0.25">
      <c r="A4" s="1"/>
      <c r="B4" s="95"/>
      <c r="C4" s="95"/>
      <c r="D4" s="95"/>
      <c r="E4" s="95"/>
      <c r="F4" s="9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4" t="s">
        <v>15</v>
      </c>
      <c r="C9" s="74" t="s">
        <v>10</v>
      </c>
      <c r="D9" s="75"/>
      <c r="E9" s="74" t="s">
        <v>27</v>
      </c>
      <c r="F9" s="30"/>
      <c r="G9" s="1"/>
    </row>
    <row r="10" spans="1:7" x14ac:dyDescent="0.25">
      <c r="A10" s="1"/>
      <c r="B10" s="23" t="s">
        <v>161</v>
      </c>
      <c r="C10" s="21">
        <f>'Fane 9. Anlægsprojekter (§ 19) '!H17</f>
        <v>0</v>
      </c>
      <c r="D10" s="14" t="s">
        <v>3</v>
      </c>
      <c r="E10" s="9">
        <f>'Fane 9. Anlægsprojekter (§ 19) '!F17+'Fane 9. Anlægsprojekter (§ 19) '!J17</f>
        <v>0</v>
      </c>
      <c r="F10" s="14" t="s">
        <v>3</v>
      </c>
      <c r="G10" s="1"/>
    </row>
    <row r="11" spans="1:7" x14ac:dyDescent="0.25">
      <c r="A11" s="1"/>
      <c r="B11" s="27" t="s">
        <v>242</v>
      </c>
      <c r="C11" s="21">
        <v>0</v>
      </c>
      <c r="D11" s="14" t="s">
        <v>3</v>
      </c>
      <c r="E11" s="9">
        <v>5269</v>
      </c>
      <c r="F11" s="14" t="s">
        <v>3</v>
      </c>
      <c r="G11" s="1"/>
    </row>
    <row r="12" spans="1:7" x14ac:dyDescent="0.25">
      <c r="A12" s="1"/>
      <c r="B12" s="27"/>
      <c r="C12" s="21"/>
      <c r="D12" s="14" t="s">
        <v>3</v>
      </c>
      <c r="E12" s="9"/>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0</v>
      </c>
      <c r="D17" s="13" t="s">
        <v>3</v>
      </c>
      <c r="E17" s="12">
        <f>SUM(E10:E16)</f>
        <v>5269</v>
      </c>
      <c r="F17" s="13" t="s">
        <v>3</v>
      </c>
      <c r="G17" s="1"/>
    </row>
    <row r="18" spans="1:7" x14ac:dyDescent="0.25">
      <c r="A18" s="1"/>
      <c r="B18" s="52" t="s">
        <v>209</v>
      </c>
      <c r="C18" s="12">
        <f>C17*(1+'Fane 13. Nøgletal'!C16)</f>
        <v>0</v>
      </c>
      <c r="D18" s="13" t="s">
        <v>3</v>
      </c>
      <c r="E18" s="12">
        <f>E17*(1+'Fane 13. Nøgletal'!C16)</f>
        <v>5694.7352000000001</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aUEo5SQhl0L/veQeKb/Nz5nd2RfeIquyc2Z+Qmd5b1lIG48IGIzpqugYlYQEOMZjLFXLCLR3kCMWS1cxvnN11Q==" saltValue="OrAgqpdGg84h6EScYMVfL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179</v>
      </c>
      <c r="C3" s="95"/>
      <c r="D3" s="95"/>
      <c r="E3" s="95"/>
      <c r="F3" s="95"/>
      <c r="G3" s="1"/>
    </row>
    <row r="4" spans="1:7" ht="15" customHeight="1" x14ac:dyDescent="0.25">
      <c r="A4" s="1"/>
      <c r="B4" s="95"/>
      <c r="C4" s="95"/>
      <c r="D4" s="95"/>
      <c r="E4" s="95"/>
      <c r="F4" s="9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5" t="s">
        <v>217</v>
      </c>
      <c r="C9" s="106"/>
      <c r="D9" s="106"/>
      <c r="E9" s="106"/>
      <c r="F9" s="107"/>
      <c r="G9" s="1"/>
    </row>
    <row r="10" spans="1:7" ht="26.25" x14ac:dyDescent="0.25">
      <c r="A10" s="1"/>
      <c r="B10" s="74" t="s">
        <v>15</v>
      </c>
      <c r="C10" s="74" t="s">
        <v>10</v>
      </c>
      <c r="D10" s="75"/>
      <c r="E10" s="74" t="s">
        <v>27</v>
      </c>
      <c r="F10" s="30"/>
      <c r="G10" s="1"/>
    </row>
    <row r="11" spans="1:7" x14ac:dyDescent="0.25">
      <c r="A11" s="1"/>
      <c r="B11" s="23"/>
      <c r="C11" s="21"/>
      <c r="D11" s="14" t="s">
        <v>3</v>
      </c>
      <c r="E11" s="9">
        <v>0</v>
      </c>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zThnUvW+NRL3jadCQvNPeZvL1Rq/AGsc4vIjRn9RzfUjPABl81wg7+hac7pfwdIuxfT7GoDsBR7ZVzC3IcLmpQ==" saltValue="iFU9te65843+qnr6Uu8yuA=="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8" t="s">
        <v>180</v>
      </c>
      <c r="C3" s="98"/>
      <c r="D3" s="98"/>
      <c r="E3" s="98"/>
      <c r="F3" s="98"/>
      <c r="G3" s="1"/>
    </row>
    <row r="4" spans="1:7" ht="25.5" customHeight="1" x14ac:dyDescent="0.25">
      <c r="A4" s="1"/>
      <c r="B4" s="98"/>
      <c r="C4" s="98"/>
      <c r="D4" s="98"/>
      <c r="E4" s="98"/>
      <c r="F4" s="9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5" t="s">
        <v>104</v>
      </c>
      <c r="C8" s="106"/>
      <c r="D8" s="106"/>
      <c r="E8" s="106"/>
      <c r="F8" s="107"/>
      <c r="G8" s="1"/>
    </row>
    <row r="9" spans="1:7" ht="15" customHeight="1" x14ac:dyDescent="0.25">
      <c r="A9" s="1"/>
      <c r="B9" s="54" t="s">
        <v>105</v>
      </c>
      <c r="C9" s="130" t="s">
        <v>10</v>
      </c>
      <c r="D9" s="132"/>
      <c r="E9" s="130" t="s">
        <v>27</v>
      </c>
      <c r="F9" s="132"/>
      <c r="G9" s="1"/>
    </row>
    <row r="10" spans="1:7" ht="26.25" x14ac:dyDescent="0.25">
      <c r="A10" s="1"/>
      <c r="B10" s="57" t="s">
        <v>240</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NDlod2OmayxrfG7Xh58eLiCRM4v18KF0qIs3LQq4wrJb2HyK9og73xIbH1OjymYfXkthdBcL6/6Noi6zVt8Fsw==" saltValue="2LkGuDx6X4y9Tzvp30Oy+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8" t="s">
        <v>181</v>
      </c>
      <c r="C3" s="98"/>
      <c r="D3" s="98"/>
      <c r="E3" s="98"/>
      <c r="F3" s="98"/>
      <c r="G3" s="1"/>
    </row>
    <row r="4" spans="1:7" ht="25.5" customHeight="1" x14ac:dyDescent="0.25">
      <c r="A4" s="1"/>
      <c r="B4" s="98"/>
      <c r="C4" s="98"/>
      <c r="D4" s="98"/>
      <c r="E4" s="98"/>
      <c r="F4" s="9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5" t="s">
        <v>237</v>
      </c>
      <c r="C10" s="106"/>
      <c r="D10" s="106"/>
      <c r="E10" s="106"/>
      <c r="F10" s="107"/>
      <c r="G10" s="1"/>
    </row>
    <row r="11" spans="1:7" ht="26.25" x14ac:dyDescent="0.25">
      <c r="A11" s="1"/>
      <c r="B11" s="54" t="s">
        <v>16</v>
      </c>
      <c r="C11" s="54" t="s">
        <v>10</v>
      </c>
      <c r="D11" s="30"/>
      <c r="E11" s="54" t="s">
        <v>27</v>
      </c>
      <c r="F11" s="30"/>
      <c r="G11" s="1"/>
    </row>
    <row r="12" spans="1:7" x14ac:dyDescent="0.25">
      <c r="A12" s="1"/>
      <c r="B12" s="57" t="s">
        <v>241</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U7hBln/PfKrVqpMdPBbymPi+JA/8b+Gy9EMUkx1DRy1Dl0XbS1tzedTFXc61FkUQPFr3QtSPj3m4qI4U0IIQWA==" saltValue="K468AEt6/yQ2qez0u11Jwg=="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98" t="s">
        <v>182</v>
      </c>
      <c r="C3" s="98"/>
      <c r="D3" s="1"/>
    </row>
    <row r="4" spans="1:4" ht="25.5" customHeight="1" x14ac:dyDescent="0.25">
      <c r="A4" s="1"/>
      <c r="B4" s="98"/>
      <c r="C4" s="98"/>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9" t="s">
        <v>93</v>
      </c>
      <c r="C9" s="40">
        <v>1.2699999999999999E-2</v>
      </c>
      <c r="D9" s="1"/>
    </row>
    <row r="10" spans="1:4" x14ac:dyDescent="0.25">
      <c r="A10" s="1"/>
      <c r="B10" s="69" t="s">
        <v>21</v>
      </c>
      <c r="C10" s="40">
        <v>1.7500000000000002E-2</v>
      </c>
      <c r="D10" s="1"/>
    </row>
    <row r="11" spans="1:4" x14ac:dyDescent="0.25">
      <c r="A11" s="1"/>
      <c r="B11" s="69"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5"/>
      <c r="C17" s="107"/>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9" t="s">
        <v>95</v>
      </c>
      <c r="C21" s="42">
        <v>9.1000000000000004E-3</v>
      </c>
      <c r="D21" s="1"/>
    </row>
    <row r="22" spans="1:4" x14ac:dyDescent="0.25">
      <c r="A22" s="1"/>
      <c r="B22" s="69" t="s">
        <v>96</v>
      </c>
      <c r="C22" s="42">
        <v>1.77E-2</v>
      </c>
      <c r="D22" s="1"/>
    </row>
    <row r="23" spans="1:4" x14ac:dyDescent="0.25">
      <c r="A23" s="1"/>
      <c r="B23" s="69" t="s">
        <v>97</v>
      </c>
      <c r="C23" s="42">
        <v>8.6999999999999994E-3</v>
      </c>
      <c r="D23" s="1"/>
    </row>
    <row r="24" spans="1:4" x14ac:dyDescent="0.25">
      <c r="A24" s="1"/>
      <c r="B24" s="69" t="s">
        <v>98</v>
      </c>
      <c r="C24" s="42">
        <v>2.8400000000000002E-2</v>
      </c>
      <c r="D24" s="1"/>
    </row>
    <row r="25" spans="1:4" x14ac:dyDescent="0.25">
      <c r="A25" s="1"/>
      <c r="B25" s="69" t="s">
        <v>111</v>
      </c>
      <c r="C25" s="42">
        <v>2.75E-2</v>
      </c>
      <c r="D25" s="1"/>
    </row>
    <row r="26" spans="1:4" x14ac:dyDescent="0.25">
      <c r="A26" s="1"/>
      <c r="B26" s="69"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9" t="s">
        <v>99</v>
      </c>
      <c r="C33" s="40">
        <v>0.02</v>
      </c>
      <c r="D33" s="1"/>
    </row>
    <row r="34" spans="1:4" x14ac:dyDescent="0.25">
      <c r="A34" s="1"/>
      <c r="B34" s="52"/>
      <c r="C34" s="39"/>
      <c r="D34" s="1"/>
    </row>
    <row r="35" spans="1:4" x14ac:dyDescent="0.25">
      <c r="A35" s="1"/>
      <c r="B35" s="1"/>
      <c r="C35" s="38"/>
      <c r="D35" s="1"/>
    </row>
    <row r="36" spans="1:4" x14ac:dyDescent="0.25">
      <c r="A36" s="1"/>
      <c r="B36" s="52" t="s">
        <v>82</v>
      </c>
      <c r="C36" s="19"/>
      <c r="D36" s="1"/>
    </row>
    <row r="37" spans="1:4" x14ac:dyDescent="0.25">
      <c r="A37" s="1"/>
      <c r="B37" s="69" t="s">
        <v>262</v>
      </c>
      <c r="C37" s="60">
        <v>1.7000000000000001E-2</v>
      </c>
      <c r="D37" s="1"/>
    </row>
    <row r="38" spans="1:4" x14ac:dyDescent="0.25">
      <c r="A38" s="1"/>
      <c r="B38" s="52"/>
      <c r="C38" s="19"/>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MzG6yI0Jj1OYz60SQ+SagEgyB1ZmNS2uDZGWI2TlEf9yzQlNAxyRe4K5MZzSnmsaegylqYXpQ+RW9j8/uB67w==" saltValue="FzSVGW+YTLMZ8cJgD3fwOg=="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5" t="s">
        <v>198</v>
      </c>
      <c r="C3" s="95"/>
      <c r="D3" s="95"/>
      <c r="E3" s="1"/>
    </row>
    <row r="4" spans="1:5" ht="15" customHeight="1" x14ac:dyDescent="0.25">
      <c r="A4" s="1"/>
      <c r="B4" s="95"/>
      <c r="C4" s="95"/>
      <c r="D4" s="95"/>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5971590.9350994444</v>
      </c>
      <c r="D8" s="8" t="s">
        <v>3</v>
      </c>
      <c r="E8" s="1"/>
    </row>
    <row r="9" spans="1:5" ht="17.100000000000001" customHeight="1" x14ac:dyDescent="0.25">
      <c r="A9" s="1"/>
      <c r="B9" s="24" t="s">
        <v>33</v>
      </c>
      <c r="C9" s="7">
        <f>'Fane 10.1. Varige tillæg'!C18</f>
        <v>0</v>
      </c>
      <c r="D9" s="8" t="s">
        <v>3</v>
      </c>
      <c r="E9" s="1"/>
    </row>
    <row r="10" spans="1:5" ht="17.100000000000001" customHeight="1" x14ac:dyDescent="0.25">
      <c r="A10" s="1"/>
      <c r="B10" s="24" t="s">
        <v>34</v>
      </c>
      <c r="C10" s="9">
        <f>'Fane 10.1. Varige tillæg'!E18</f>
        <v>5694.7352000000001</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213048.77189370024</v>
      </c>
      <c r="D15" s="8" t="s">
        <v>3</v>
      </c>
      <c r="E15" s="1"/>
    </row>
    <row r="16" spans="1:5" ht="17.100000000000001" customHeight="1" x14ac:dyDescent="0.25">
      <c r="A16" s="1"/>
      <c r="B16" s="24" t="s">
        <v>9</v>
      </c>
      <c r="C16" s="9">
        <f>-SUM(C8,C9:C15)*'Fane 5. Individuelt eff. krav'!G9</f>
        <v>0</v>
      </c>
      <c r="D16" s="8" t="s">
        <v>3</v>
      </c>
      <c r="E16" s="1"/>
    </row>
    <row r="17" spans="1:5" ht="17.100000000000001" customHeight="1" x14ac:dyDescent="0.25">
      <c r="A17" s="1"/>
      <c r="B17" s="24" t="s">
        <v>22</v>
      </c>
      <c r="C17" s="9">
        <f>-'Fane 4.1. Gen. krav - drift'!G49</f>
        <v>-60799.930964715844</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1" t="s">
        <v>19</v>
      </c>
      <c r="C19" s="10">
        <f>SUM(C8:C18)</f>
        <v>6129534.5112284292</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7327554.1458559996</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1" t="s">
        <v>76</v>
      </c>
      <c r="C27" s="10">
        <f>SUM(C23:C26)</f>
        <v>0</v>
      </c>
      <c r="D27" s="11" t="s">
        <v>3</v>
      </c>
      <c r="E27" s="1"/>
    </row>
    <row r="28" spans="1:5" ht="15" customHeight="1" x14ac:dyDescent="0.25">
      <c r="A28" s="1"/>
      <c r="B28" s="26" t="s">
        <v>117</v>
      </c>
      <c r="C28" s="53"/>
      <c r="D28" s="19"/>
      <c r="E28" s="1"/>
    </row>
    <row r="29" spans="1:5" x14ac:dyDescent="0.25">
      <c r="A29" s="1"/>
      <c r="B29" s="70" t="s">
        <v>118</v>
      </c>
      <c r="C29" s="10">
        <f>'Fane 7. Kontrol af ØR2022'!E27</f>
        <v>0</v>
      </c>
      <c r="D29" s="11" t="s">
        <v>3</v>
      </c>
      <c r="E29" s="1"/>
    </row>
    <row r="30" spans="1:5" x14ac:dyDescent="0.25">
      <c r="A30" s="1"/>
      <c r="B30" s="26" t="s">
        <v>138</v>
      </c>
      <c r="C30" s="53"/>
      <c r="D30" s="19"/>
      <c r="E30" s="1"/>
    </row>
    <row r="31" spans="1:5" x14ac:dyDescent="0.25">
      <c r="A31" s="1"/>
      <c r="B31" s="70" t="s">
        <v>139</v>
      </c>
      <c r="C31" s="10">
        <f>'Fane 8. Skattesagen'!G13</f>
        <v>0</v>
      </c>
      <c r="D31" s="11" t="s">
        <v>3</v>
      </c>
      <c r="E31" s="1"/>
    </row>
    <row r="32" spans="1:5" x14ac:dyDescent="0.25">
      <c r="A32" s="1"/>
      <c r="B32" s="26" t="s">
        <v>264</v>
      </c>
      <c r="C32" s="53"/>
      <c r="D32" s="19"/>
      <c r="E32" s="1"/>
    </row>
    <row r="33" spans="1:5" x14ac:dyDescent="0.25">
      <c r="A33" s="1"/>
      <c r="B33" s="70" t="s">
        <v>265</v>
      </c>
      <c r="C33" s="10">
        <v>305488.42572529498</v>
      </c>
      <c r="D33" s="11" t="s">
        <v>3</v>
      </c>
      <c r="E33" s="1"/>
    </row>
    <row r="34" spans="1:5" x14ac:dyDescent="0.25">
      <c r="A34" s="1"/>
      <c r="B34" s="52" t="s">
        <v>126</v>
      </c>
      <c r="C34" s="33">
        <f>SUM(C19,C21,C27,C29,C31,C33)</f>
        <v>13762577.082809722</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4/Qj4lg6I0cH+R4cdi158spD4OGnW4njeZlhRH/enXEMByKG1gFnR6sDcHA5CUyXZgUVfTkJKoK4s8vhWdVo5w==" saltValue="hp9/Wyz3UUIPituZM+TuP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5" t="s">
        <v>199</v>
      </c>
      <c r="C3" s="95"/>
      <c r="D3" s="95"/>
      <c r="E3" s="1"/>
    </row>
    <row r="4" spans="1:5" ht="15" customHeight="1" x14ac:dyDescent="0.25">
      <c r="A4" s="1"/>
      <c r="B4" s="95"/>
      <c r="C4" s="95"/>
      <c r="D4" s="95"/>
      <c r="E4" s="1"/>
    </row>
    <row r="5" spans="1:5" x14ac:dyDescent="0.25">
      <c r="A5" s="1"/>
      <c r="B5" s="96" t="s">
        <v>20</v>
      </c>
      <c r="C5" s="96"/>
      <c r="D5" s="96"/>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6129534.5112284292</v>
      </c>
      <c r="D8" s="8" t="s">
        <v>3</v>
      </c>
      <c r="E8" s="1"/>
    </row>
    <row r="9" spans="1:5" ht="15" customHeight="1" x14ac:dyDescent="0.25">
      <c r="A9" s="1"/>
      <c r="B9" s="29" t="s">
        <v>17</v>
      </c>
      <c r="C9" s="9">
        <f>SUM(C8:C8)*'Fane 13. Nøgletal'!C16</f>
        <v>495266.38850725704</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drift'!G54</f>
        <v>-64398.314078931588</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6560402.5856567547</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7919620.5208411645</v>
      </c>
      <c r="D15" s="11" t="s">
        <v>3</v>
      </c>
      <c r="E15" s="1"/>
    </row>
    <row r="16" spans="1:5" x14ac:dyDescent="0.25">
      <c r="A16" s="1"/>
      <c r="B16" s="26" t="s">
        <v>117</v>
      </c>
      <c r="C16" s="53"/>
      <c r="D16" s="19"/>
      <c r="E16" s="1"/>
    </row>
    <row r="17" spans="1:5" ht="15" customHeight="1" x14ac:dyDescent="0.25">
      <c r="A17" s="1"/>
      <c r="B17" s="70" t="s">
        <v>118</v>
      </c>
      <c r="C17" s="10">
        <f>'Fane 7. Kontrol af ØR2022'!E33</f>
        <v>0</v>
      </c>
      <c r="D17" s="11" t="s">
        <v>3</v>
      </c>
      <c r="E17" s="1"/>
    </row>
    <row r="18" spans="1:5" x14ac:dyDescent="0.25">
      <c r="A18" s="1"/>
      <c r="B18" s="26" t="s">
        <v>138</v>
      </c>
      <c r="C18" s="53"/>
      <c r="D18" s="19"/>
      <c r="E18" s="1"/>
    </row>
    <row r="19" spans="1:5" x14ac:dyDescent="0.25">
      <c r="A19" s="1"/>
      <c r="B19" s="70" t="s">
        <v>139</v>
      </c>
      <c r="C19" s="10">
        <f>'Fane 8. Skattesagen'!G13</f>
        <v>0</v>
      </c>
      <c r="D19" s="11" t="s">
        <v>3</v>
      </c>
      <c r="E19" s="1"/>
    </row>
    <row r="20" spans="1:5" x14ac:dyDescent="0.25">
      <c r="A20" s="1"/>
      <c r="B20" s="52" t="s">
        <v>128</v>
      </c>
      <c r="C20" s="12">
        <f>SUM(C13,C15,C17,C19)</f>
        <v>14480023.106497919</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wIZVgZmrU8FZGUzV9UBywrPOFOVK3FqclWm0A5DjN1KW4Ev7k0JZFhvkJ2+3q1qXBSJadNzpDyHaMrZsqlqeBw==" saltValue="JkCXt9XtwTZGoECYdPzRn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5" t="s">
        <v>200</v>
      </c>
      <c r="C3" s="95"/>
      <c r="D3" s="95"/>
      <c r="E3" s="1"/>
    </row>
    <row r="4" spans="1:5" ht="15" customHeight="1" x14ac:dyDescent="0.25">
      <c r="A4" s="1"/>
      <c r="B4" s="95"/>
      <c r="C4" s="95"/>
      <c r="D4" s="95"/>
      <c r="E4" s="1"/>
    </row>
    <row r="5" spans="1:5" x14ac:dyDescent="0.25">
      <c r="A5" s="1"/>
      <c r="B5" s="96" t="s">
        <v>20</v>
      </c>
      <c r="C5" s="96"/>
      <c r="D5" s="96"/>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6560402.5856567547</v>
      </c>
      <c r="D8" s="8" t="s">
        <v>3</v>
      </c>
      <c r="E8" s="1"/>
    </row>
    <row r="9" spans="1:5" ht="15" customHeight="1" x14ac:dyDescent="0.25">
      <c r="A9" s="1"/>
      <c r="B9" s="29" t="s">
        <v>17</v>
      </c>
      <c r="C9" s="9">
        <f>SUM(C8:C8)*'Fane 13. Nøgletal'!C16</f>
        <v>530080.52892106574</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drift'!G59</f>
        <v>-68209.663899379069</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7022273.4506784417</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8559525.8589251302</v>
      </c>
      <c r="D15" s="11" t="s">
        <v>3</v>
      </c>
      <c r="E15" s="1"/>
    </row>
    <row r="16" spans="1:5" x14ac:dyDescent="0.25">
      <c r="A16" s="1"/>
      <c r="B16" s="52" t="s">
        <v>117</v>
      </c>
      <c r="C16" s="53"/>
      <c r="D16" s="19"/>
      <c r="E16" s="1"/>
    </row>
    <row r="17" spans="1:5" x14ac:dyDescent="0.25">
      <c r="A17" s="1"/>
      <c r="B17" s="54" t="s">
        <v>118</v>
      </c>
      <c r="C17" s="10">
        <f>'Fane 7. Kontrol af ØR2022'!E33</f>
        <v>0</v>
      </c>
      <c r="D17" s="11" t="s">
        <v>3</v>
      </c>
      <c r="E17" s="1"/>
    </row>
    <row r="18" spans="1:5" ht="15" customHeight="1" x14ac:dyDescent="0.25">
      <c r="A18" s="1"/>
      <c r="B18" s="26" t="s">
        <v>138</v>
      </c>
      <c r="C18" s="53"/>
      <c r="D18" s="19"/>
      <c r="E18" s="1"/>
    </row>
    <row r="19" spans="1:5" ht="15" customHeight="1" x14ac:dyDescent="0.25">
      <c r="A19" s="1"/>
      <c r="B19" s="70" t="s">
        <v>139</v>
      </c>
      <c r="C19" s="10">
        <f>'Fane 8. Skattesagen'!G14</f>
        <v>0</v>
      </c>
      <c r="D19" s="11" t="s">
        <v>3</v>
      </c>
      <c r="E19" s="1"/>
    </row>
    <row r="20" spans="1:5" x14ac:dyDescent="0.25">
      <c r="A20" s="1"/>
      <c r="B20" s="52" t="s">
        <v>143</v>
      </c>
      <c r="C20" s="12">
        <f>SUM(C13,C15,C17,C19)</f>
        <v>15581799.309603572</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yq6J2GXFVx0KJ2MUPZ5NU/A/gnFQmusY8weuf1RPshHeNw6Wkgx4M9iHY/gMkfOF70GICmOfrLxP22GJ7d1+aw==" saltValue="z1Iu+95BDv8rERPa7rvUB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5" t="s">
        <v>204</v>
      </c>
      <c r="C3" s="95"/>
      <c r="D3" s="95"/>
      <c r="E3" s="1"/>
    </row>
    <row r="4" spans="1:5" ht="15" customHeight="1" x14ac:dyDescent="0.25">
      <c r="A4" s="1"/>
      <c r="B4" s="95"/>
      <c r="C4" s="95"/>
      <c r="D4" s="95"/>
      <c r="E4" s="1"/>
    </row>
    <row r="5" spans="1:5" x14ac:dyDescent="0.25">
      <c r="A5" s="1"/>
      <c r="B5" s="96" t="s">
        <v>20</v>
      </c>
      <c r="C5" s="96"/>
      <c r="D5" s="96"/>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7022273.4506784417</v>
      </c>
      <c r="D8" s="8" t="s">
        <v>3</v>
      </c>
      <c r="E8" s="1"/>
    </row>
    <row r="9" spans="1:5" ht="15" customHeight="1" x14ac:dyDescent="0.25">
      <c r="A9" s="1"/>
      <c r="B9" s="29" t="s">
        <v>17</v>
      </c>
      <c r="C9" s="9">
        <f>SUM(C8:C8)*'Fane 13. Nøgletal'!C16</f>
        <v>567399.6948148181</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drift'!G64</f>
        <v>-72246.584647599913</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7517426.56084566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9251135.54832628</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0" t="s">
        <v>139</v>
      </c>
      <c r="C19" s="10">
        <f>'Fane 8. Skattesagen'!G15</f>
        <v>0</v>
      </c>
      <c r="D19" s="11" t="s">
        <v>3</v>
      </c>
      <c r="E19" s="1"/>
    </row>
    <row r="20" spans="1:5" x14ac:dyDescent="0.25">
      <c r="A20" s="1"/>
      <c r="B20" s="52" t="s">
        <v>205</v>
      </c>
      <c r="C20" s="12">
        <f>SUM(C13,C15,C17,C19)</f>
        <v>16768562.10917194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y9JL5TvoirAP9m5zZnzG+lhbR2Ky4HTJ+x3/i7iLVX54PM6eE7zbv4kkA9X3a12lCLCOhcPOxPWVL6NtTWDr2g==" saltValue="Mr/XrNr44MF9QQGLXqvTL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98" t="s">
        <v>201</v>
      </c>
      <c r="C3" s="98"/>
      <c r="D3" s="98"/>
      <c r="E3" s="1"/>
    </row>
    <row r="4" spans="1:5" x14ac:dyDescent="0.25">
      <c r="A4" s="1"/>
      <c r="B4" s="98"/>
      <c r="C4" s="98"/>
      <c r="D4" s="98"/>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5824159.2132416377</v>
      </c>
      <c r="D8" s="8" t="s">
        <v>3</v>
      </c>
      <c r="E8" s="1"/>
    </row>
    <row r="9" spans="1:5" x14ac:dyDescent="0.25">
      <c r="A9" s="1"/>
      <c r="B9" s="24" t="s">
        <v>33</v>
      </c>
      <c r="C9" s="7">
        <v>0</v>
      </c>
      <c r="D9" s="8" t="s">
        <v>3</v>
      </c>
      <c r="E9" s="1"/>
    </row>
    <row r="10" spans="1:5" x14ac:dyDescent="0.25">
      <c r="A10" s="1"/>
      <c r="B10" s="24" t="s">
        <v>34</v>
      </c>
      <c r="C10" s="9">
        <v>0</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207340.06799140229</v>
      </c>
      <c r="D15" s="8" t="s">
        <v>3</v>
      </c>
      <c r="E15" s="1"/>
    </row>
    <row r="16" spans="1:5" x14ac:dyDescent="0.25">
      <c r="A16" s="1"/>
      <c r="B16" s="24" t="s">
        <v>9</v>
      </c>
      <c r="C16" s="9">
        <v>0</v>
      </c>
      <c r="D16" s="8" t="s">
        <v>3</v>
      </c>
      <c r="E16" s="1"/>
    </row>
    <row r="17" spans="1:5" x14ac:dyDescent="0.25">
      <c r="A17" s="1"/>
      <c r="B17" s="24" t="s">
        <v>22</v>
      </c>
      <c r="C17" s="9">
        <v>-59908.346133595784</v>
      </c>
      <c r="D17" s="8" t="s">
        <v>3</v>
      </c>
      <c r="E17" s="1"/>
    </row>
    <row r="18" spans="1:5" x14ac:dyDescent="0.25">
      <c r="A18" s="1"/>
      <c r="B18" s="24" t="s">
        <v>23</v>
      </c>
      <c r="C18" s="9">
        <v>0</v>
      </c>
      <c r="D18" s="8" t="s">
        <v>3</v>
      </c>
      <c r="E18" s="1"/>
    </row>
    <row r="19" spans="1:5" x14ac:dyDescent="0.25">
      <c r="A19" s="1"/>
      <c r="B19" s="71" t="s">
        <v>19</v>
      </c>
      <c r="C19" s="10">
        <v>5971590.9350994444</v>
      </c>
      <c r="D19" s="11" t="s">
        <v>3</v>
      </c>
      <c r="E19" s="1"/>
    </row>
    <row r="20" spans="1:5" x14ac:dyDescent="0.25">
      <c r="A20" s="1"/>
      <c r="B20" s="52" t="s">
        <v>11</v>
      </c>
      <c r="C20" s="53"/>
      <c r="D20" s="19"/>
      <c r="E20" s="1"/>
    </row>
    <row r="21" spans="1:5" x14ac:dyDescent="0.25">
      <c r="A21" s="1"/>
      <c r="B21" s="54" t="s">
        <v>11</v>
      </c>
      <c r="C21" s="10">
        <v>6242537.5740360003</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1" t="s">
        <v>76</v>
      </c>
      <c r="C27" s="56">
        <v>0</v>
      </c>
      <c r="D27" s="11" t="s">
        <v>3</v>
      </c>
      <c r="E27" s="1"/>
    </row>
    <row r="28" spans="1:5" x14ac:dyDescent="0.25">
      <c r="A28" s="1"/>
      <c r="B28" s="26" t="s">
        <v>117</v>
      </c>
      <c r="C28" s="53"/>
      <c r="D28" s="19"/>
      <c r="E28" s="1"/>
    </row>
    <row r="29" spans="1:5" x14ac:dyDescent="0.25">
      <c r="A29" s="1"/>
      <c r="B29" s="70" t="s">
        <v>118</v>
      </c>
      <c r="C29" s="10">
        <v>0</v>
      </c>
      <c r="D29" s="11" t="s">
        <v>3</v>
      </c>
      <c r="E29" s="1"/>
    </row>
    <row r="30" spans="1:5" x14ac:dyDescent="0.25">
      <c r="A30" s="1"/>
      <c r="B30" s="26" t="s">
        <v>138</v>
      </c>
      <c r="C30" s="53"/>
      <c r="D30" s="19"/>
      <c r="E30" s="1"/>
    </row>
    <row r="31" spans="1:5" x14ac:dyDescent="0.25">
      <c r="A31" s="1"/>
      <c r="B31" s="70" t="s">
        <v>139</v>
      </c>
      <c r="C31" s="10">
        <v>0</v>
      </c>
      <c r="D31" s="11" t="s">
        <v>3</v>
      </c>
      <c r="E31" s="1"/>
    </row>
    <row r="32" spans="1:5" x14ac:dyDescent="0.25">
      <c r="A32" s="1"/>
      <c r="B32" s="52" t="s">
        <v>238</v>
      </c>
      <c r="C32" s="33">
        <v>12214128.509135444</v>
      </c>
      <c r="D32" s="19" t="s">
        <v>3</v>
      </c>
      <c r="E32" s="1"/>
    </row>
    <row r="33" spans="1:5" ht="30" customHeight="1" x14ac:dyDescent="0.25">
      <c r="A33" s="1"/>
      <c r="B33" s="97" t="s">
        <v>239</v>
      </c>
      <c r="C33" s="97"/>
      <c r="D33" s="97"/>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qV+uwKdtVMBxaglV3ahEYFAcz9moBUKCjMCcqccJ6kt1Rl8XhuDv9/Md+ku1nasdLwApJvLo5tgBckTC65700A==" saltValue="Hpvghjdb2UN4kh0Dao3Vzg=="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98" t="s">
        <v>90</v>
      </c>
      <c r="C1" s="98"/>
      <c r="D1" s="98"/>
      <c r="E1" s="98"/>
      <c r="F1" s="98"/>
      <c r="G1" s="98"/>
      <c r="H1" s="98"/>
      <c r="I1" s="1"/>
    </row>
    <row r="2" spans="1:9" ht="15" customHeight="1" x14ac:dyDescent="0.25">
      <c r="A2" s="1"/>
      <c r="B2" s="98"/>
      <c r="C2" s="98"/>
      <c r="D2" s="98"/>
      <c r="E2" s="98"/>
      <c r="F2" s="98"/>
      <c r="G2" s="98"/>
      <c r="H2" s="98"/>
      <c r="I2" s="1"/>
    </row>
    <row r="3" spans="1:9" ht="15" customHeight="1" x14ac:dyDescent="0.25">
      <c r="A3" s="1"/>
      <c r="B3" s="98"/>
      <c r="C3" s="98"/>
      <c r="D3" s="98"/>
      <c r="E3" s="98"/>
      <c r="F3" s="98"/>
      <c r="G3" s="98"/>
      <c r="H3" s="98"/>
      <c r="I3" s="1"/>
    </row>
    <row r="4" spans="1:9" x14ac:dyDescent="0.25">
      <c r="A4" s="1"/>
      <c r="B4" s="105" t="s">
        <v>44</v>
      </c>
      <c r="C4" s="106"/>
      <c r="D4" s="106"/>
      <c r="E4" s="106"/>
      <c r="F4" s="106"/>
      <c r="G4" s="106"/>
      <c r="H4" s="107"/>
      <c r="I4" s="1"/>
    </row>
    <row r="5" spans="1:9" x14ac:dyDescent="0.25">
      <c r="A5" s="1"/>
      <c r="B5" s="99" t="s">
        <v>36</v>
      </c>
      <c r="C5" s="100"/>
      <c r="D5" s="100"/>
      <c r="E5" s="100"/>
      <c r="F5" s="101"/>
      <c r="G5" s="47">
        <v>3031249</v>
      </c>
      <c r="H5" s="14" t="s">
        <v>3</v>
      </c>
      <c r="I5" s="1"/>
    </row>
    <row r="6" spans="1:9" x14ac:dyDescent="0.25">
      <c r="A6" s="1"/>
      <c r="B6" s="99" t="s">
        <v>37</v>
      </c>
      <c r="C6" s="100"/>
      <c r="D6" s="100"/>
      <c r="E6" s="100"/>
      <c r="F6" s="101"/>
      <c r="G6" s="22">
        <f>G5*'Fane 13. Nøgletal'!C37</f>
        <v>51531.233</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5" t="s">
        <v>45</v>
      </c>
      <c r="C9" s="106"/>
      <c r="D9" s="106"/>
      <c r="E9" s="106"/>
      <c r="F9" s="106"/>
      <c r="G9" s="106"/>
      <c r="H9" s="107"/>
      <c r="I9" s="1"/>
    </row>
    <row r="10" spans="1:9" x14ac:dyDescent="0.25">
      <c r="A10" s="1"/>
      <c r="B10" s="99" t="s">
        <v>38</v>
      </c>
      <c r="C10" s="100"/>
      <c r="D10" s="100"/>
      <c r="E10" s="100"/>
      <c r="F10" s="101"/>
      <c r="G10" s="22">
        <f>(G5-G6)*(1+'Fane 13. Nøgletal'!C9)</f>
        <v>3017560.1826408999</v>
      </c>
      <c r="H10" s="14" t="s">
        <v>3</v>
      </c>
      <c r="I10" s="1"/>
    </row>
    <row r="11" spans="1:9" x14ac:dyDescent="0.25">
      <c r="A11" s="1"/>
      <c r="B11" s="102" t="s">
        <v>228</v>
      </c>
      <c r="C11" s="103"/>
      <c r="D11" s="103"/>
      <c r="E11" s="103"/>
      <c r="F11" s="104"/>
      <c r="G11" s="47">
        <v>0</v>
      </c>
      <c r="H11" s="14" t="s">
        <v>3</v>
      </c>
      <c r="I11" s="1"/>
    </row>
    <row r="12" spans="1:9" x14ac:dyDescent="0.25">
      <c r="A12" s="1"/>
      <c r="B12" s="99" t="s">
        <v>39</v>
      </c>
      <c r="C12" s="100"/>
      <c r="D12" s="100"/>
      <c r="E12" s="100"/>
      <c r="F12" s="101"/>
      <c r="G12" s="22">
        <f>(G10+G11)*'Fane 13. Nøgletal'!C37</f>
        <v>51298.523104895299</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5" t="s">
        <v>46</v>
      </c>
      <c r="C15" s="106"/>
      <c r="D15" s="106"/>
      <c r="E15" s="106"/>
      <c r="F15" s="106"/>
      <c r="G15" s="106"/>
      <c r="H15" s="107"/>
      <c r="I15" s="1"/>
    </row>
    <row r="16" spans="1:9" x14ac:dyDescent="0.25">
      <c r="A16" s="1"/>
      <c r="B16" s="99" t="s">
        <v>40</v>
      </c>
      <c r="C16" s="100"/>
      <c r="D16" s="100"/>
      <c r="E16" s="100"/>
      <c r="F16" s="101"/>
      <c r="G16" s="22">
        <f>(G10+G11-G12)*(1+'Fane 13. Nøgletal'!C9)</f>
        <v>3003933.1826121118</v>
      </c>
      <c r="H16" s="14" t="s">
        <v>3</v>
      </c>
      <c r="I16" s="1"/>
    </row>
    <row r="17" spans="1:9" x14ac:dyDescent="0.25">
      <c r="A17" s="1"/>
      <c r="B17" s="99" t="s">
        <v>100</v>
      </c>
      <c r="C17" s="100"/>
      <c r="D17" s="100"/>
      <c r="E17" s="100"/>
      <c r="F17" s="101"/>
      <c r="G17" s="47">
        <v>0</v>
      </c>
      <c r="H17" s="14" t="s">
        <v>3</v>
      </c>
      <c r="I17" s="1"/>
    </row>
    <row r="18" spans="1:9" x14ac:dyDescent="0.25">
      <c r="A18" s="1"/>
      <c r="B18" s="102" t="s">
        <v>229</v>
      </c>
      <c r="C18" s="103"/>
      <c r="D18" s="103"/>
      <c r="E18" s="103"/>
      <c r="F18" s="104"/>
      <c r="G18" s="47">
        <v>0</v>
      </c>
      <c r="H18" s="14" t="s">
        <v>3</v>
      </c>
      <c r="I18" s="1"/>
    </row>
    <row r="19" spans="1:9" x14ac:dyDescent="0.25">
      <c r="A19" s="1"/>
      <c r="B19" s="99" t="s">
        <v>41</v>
      </c>
      <c r="C19" s="100"/>
      <c r="D19" s="100"/>
      <c r="E19" s="100"/>
      <c r="F19" s="101"/>
      <c r="G19" s="22">
        <f>SUM(G16:G18)*'Fane 13. Nøgletal'!C37</f>
        <v>51066.864104405904</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5" t="s">
        <v>47</v>
      </c>
      <c r="C22" s="106"/>
      <c r="D22" s="106"/>
      <c r="E22" s="106"/>
      <c r="F22" s="106"/>
      <c r="G22" s="106"/>
      <c r="H22" s="107"/>
      <c r="I22" s="1"/>
    </row>
    <row r="23" spans="1:9" x14ac:dyDescent="0.25">
      <c r="A23" s="1"/>
      <c r="B23" s="99" t="s">
        <v>42</v>
      </c>
      <c r="C23" s="100"/>
      <c r="D23" s="100"/>
      <c r="E23" s="100"/>
      <c r="F23" s="101"/>
      <c r="G23" s="22">
        <f>(SUM(G16:G18)-G19)*(1+'Fane 13. Nøgletal'!C9)</f>
        <v>2990367.7207527533</v>
      </c>
      <c r="H23" s="14" t="s">
        <v>3</v>
      </c>
      <c r="I23" s="1"/>
    </row>
    <row r="24" spans="1:9" x14ac:dyDescent="0.25">
      <c r="A24" s="1"/>
      <c r="B24" s="102" t="s">
        <v>230</v>
      </c>
      <c r="C24" s="103"/>
      <c r="D24" s="103"/>
      <c r="E24" s="103"/>
      <c r="F24" s="104"/>
      <c r="G24" s="47">
        <v>0</v>
      </c>
      <c r="H24" s="14" t="s">
        <v>3</v>
      </c>
      <c r="I24" s="1"/>
    </row>
    <row r="25" spans="1:9" x14ac:dyDescent="0.25">
      <c r="A25" s="1"/>
      <c r="B25" s="99" t="s">
        <v>43</v>
      </c>
      <c r="C25" s="100"/>
      <c r="D25" s="100"/>
      <c r="E25" s="100"/>
      <c r="F25" s="101"/>
      <c r="G25" s="22">
        <f>(G23+G24)*'Fane 13. Nøgletal'!C37</f>
        <v>50836.251252796807</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5" t="s">
        <v>121</v>
      </c>
      <c r="C28" s="106"/>
      <c r="D28" s="106"/>
      <c r="E28" s="106"/>
      <c r="F28" s="106"/>
      <c r="G28" s="106"/>
      <c r="H28" s="107"/>
      <c r="I28" s="1"/>
    </row>
    <row r="29" spans="1:9" x14ac:dyDescent="0.25">
      <c r="A29" s="1"/>
      <c r="B29" s="99" t="s">
        <v>50</v>
      </c>
      <c r="C29" s="100"/>
      <c r="D29" s="100"/>
      <c r="E29" s="100"/>
      <c r="F29" s="101"/>
      <c r="G29" s="22">
        <f>(G23+G24-G25)*(1+'Fane 13. Nøgletal'!C13)</f>
        <v>2975393.7534278557</v>
      </c>
      <c r="H29" s="14" t="s">
        <v>3</v>
      </c>
      <c r="I29" s="1"/>
    </row>
    <row r="30" spans="1:9" x14ac:dyDescent="0.25">
      <c r="A30" s="1"/>
      <c r="B30" s="99" t="s">
        <v>231</v>
      </c>
      <c r="C30" s="100"/>
      <c r="D30" s="100"/>
      <c r="E30" s="100"/>
      <c r="F30" s="101"/>
      <c r="G30" s="47">
        <v>0</v>
      </c>
      <c r="H30" s="14" t="s">
        <v>3</v>
      </c>
      <c r="I30" s="1"/>
    </row>
    <row r="31" spans="1:9" x14ac:dyDescent="0.25">
      <c r="A31" s="1"/>
      <c r="B31" s="99" t="s">
        <v>115</v>
      </c>
      <c r="C31" s="100"/>
      <c r="D31" s="100"/>
      <c r="E31" s="100"/>
      <c r="F31" s="101"/>
      <c r="G31" s="22">
        <f>(G29+G30)*'Fane 13. Nøgletal'!C33</f>
        <v>59507.875068557114</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5" t="s">
        <v>122</v>
      </c>
      <c r="C34" s="106"/>
      <c r="D34" s="106"/>
      <c r="E34" s="106"/>
      <c r="F34" s="106"/>
      <c r="G34" s="106"/>
      <c r="H34" s="107"/>
      <c r="I34" s="1"/>
    </row>
    <row r="35" spans="1:9" x14ac:dyDescent="0.25">
      <c r="A35" s="1"/>
      <c r="B35" s="99" t="s">
        <v>69</v>
      </c>
      <c r="C35" s="100"/>
      <c r="D35" s="100"/>
      <c r="E35" s="100"/>
      <c r="F35" s="101"/>
      <c r="G35" s="22">
        <f>(G29+G30-G31)*(1+'Fane 13. Nøgletal'!C13)</f>
        <v>2951459.6860752823</v>
      </c>
      <c r="H35" s="14" t="s">
        <v>3</v>
      </c>
      <c r="I35" s="1"/>
    </row>
    <row r="36" spans="1:9" x14ac:dyDescent="0.25">
      <c r="A36" s="1"/>
      <c r="B36" s="99" t="s">
        <v>232</v>
      </c>
      <c r="C36" s="100"/>
      <c r="D36" s="100"/>
      <c r="E36" s="100"/>
      <c r="F36" s="101"/>
      <c r="G36" s="47">
        <v>0</v>
      </c>
      <c r="H36" s="14" t="s">
        <v>3</v>
      </c>
      <c r="I36" s="1"/>
    </row>
    <row r="37" spans="1:9" x14ac:dyDescent="0.25">
      <c r="A37" s="1"/>
      <c r="B37" s="99" t="s">
        <v>123</v>
      </c>
      <c r="C37" s="100"/>
      <c r="D37" s="100"/>
      <c r="E37" s="100"/>
      <c r="F37" s="101"/>
      <c r="G37" s="22">
        <f>(G35+G36)*'Fane 13. Nøgletal'!C33</f>
        <v>59029.193721505646</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5" t="s">
        <v>157</v>
      </c>
      <c r="C40" s="106"/>
      <c r="D40" s="106"/>
      <c r="E40" s="106"/>
      <c r="F40" s="106"/>
      <c r="G40" s="106"/>
      <c r="H40" s="107"/>
      <c r="I40" s="1"/>
    </row>
    <row r="41" spans="1:9" x14ac:dyDescent="0.25">
      <c r="A41" s="1"/>
      <c r="B41" s="99" t="s">
        <v>68</v>
      </c>
      <c r="C41" s="100"/>
      <c r="D41" s="100"/>
      <c r="E41" s="100"/>
      <c r="F41" s="101"/>
      <c r="G41" s="22">
        <f>(G35+G36-G37)*(1+'Fane 13. Nøgletal'!C15)</f>
        <v>2995401.0178815713</v>
      </c>
      <c r="H41" s="14" t="s">
        <v>3</v>
      </c>
      <c r="I41" s="1"/>
    </row>
    <row r="42" spans="1:9" x14ac:dyDescent="0.25">
      <c r="A42" s="1"/>
      <c r="B42" s="99" t="s">
        <v>156</v>
      </c>
      <c r="C42" s="100"/>
      <c r="D42" s="100"/>
      <c r="E42" s="100"/>
      <c r="F42" s="101"/>
      <c r="G42" s="47">
        <v>0</v>
      </c>
      <c r="H42" s="14" t="s">
        <v>3</v>
      </c>
      <c r="I42" s="1"/>
    </row>
    <row r="43" spans="1:9" x14ac:dyDescent="0.25">
      <c r="A43" s="1"/>
      <c r="B43" s="99" t="s">
        <v>166</v>
      </c>
      <c r="C43" s="100"/>
      <c r="D43" s="100"/>
      <c r="E43" s="100"/>
      <c r="F43" s="101"/>
      <c r="G43" s="22">
        <f>(G41+G42)*'Fane 13. Nøgletal'!C33</f>
        <v>59908.020357631431</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5" t="s">
        <v>158</v>
      </c>
      <c r="C46" s="106"/>
      <c r="D46" s="106"/>
      <c r="E46" s="106"/>
      <c r="F46" s="106"/>
      <c r="G46" s="106"/>
      <c r="H46" s="107"/>
      <c r="I46" s="1"/>
    </row>
    <row r="47" spans="1:9" x14ac:dyDescent="0.25">
      <c r="A47" s="1"/>
      <c r="B47" s="99" t="s">
        <v>112</v>
      </c>
      <c r="C47" s="100"/>
      <c r="D47" s="100"/>
      <c r="E47" s="100"/>
      <c r="F47" s="101"/>
      <c r="G47" s="22">
        <f>(G41+G42-G43)*(1+'Fane 13. Nøgletal'!C15)</f>
        <v>3039996.5482357922</v>
      </c>
      <c r="H47" s="14" t="s">
        <v>3</v>
      </c>
      <c r="I47" s="1"/>
    </row>
    <row r="48" spans="1:9" x14ac:dyDescent="0.25">
      <c r="A48" s="1"/>
      <c r="B48" s="99" t="s">
        <v>206</v>
      </c>
      <c r="C48" s="100"/>
      <c r="D48" s="100"/>
      <c r="E48" s="100"/>
      <c r="F48" s="101"/>
      <c r="G48" s="47">
        <f>('Fane 2.1. Økonomisk ramme 2024'!C9+'Fane 2.1. Økonomisk ramme 2024'!C11+'Fane 2.1. Økonomisk ramme 2024'!C13)*(1+'Fane 13. Nøgletal'!C16)</f>
        <v>0</v>
      </c>
      <c r="H48" s="14" t="s">
        <v>3</v>
      </c>
      <c r="I48" s="1"/>
    </row>
    <row r="49" spans="1:9" x14ac:dyDescent="0.25">
      <c r="A49" s="1"/>
      <c r="B49" s="99" t="s">
        <v>167</v>
      </c>
      <c r="C49" s="100"/>
      <c r="D49" s="100"/>
      <c r="E49" s="100"/>
      <c r="F49" s="101"/>
      <c r="G49" s="22">
        <f>G47*'Fane 13. Nøgletal'!C33+G48*'Fane 13. Nøgletal'!C33</f>
        <v>60799.930964715844</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5" t="s">
        <v>133</v>
      </c>
      <c r="C52" s="106"/>
      <c r="D52" s="106"/>
      <c r="E52" s="106"/>
      <c r="F52" s="106"/>
      <c r="G52" s="106"/>
      <c r="H52" s="107"/>
      <c r="I52" s="1"/>
    </row>
    <row r="53" spans="1:9" x14ac:dyDescent="0.25">
      <c r="A53" s="1"/>
      <c r="B53" s="99" t="s">
        <v>134</v>
      </c>
      <c r="C53" s="100"/>
      <c r="D53" s="100"/>
      <c r="E53" s="100"/>
      <c r="F53" s="101"/>
      <c r="G53" s="22">
        <f>(G47+G48-G49)*(1+'Fane 13. Nøgletal'!C16)</f>
        <v>3219915.7039465792</v>
      </c>
      <c r="H53" s="14" t="s">
        <v>3</v>
      </c>
      <c r="I53" s="1"/>
    </row>
    <row r="54" spans="1:9" x14ac:dyDescent="0.25">
      <c r="A54" s="1"/>
      <c r="B54" s="99" t="s">
        <v>135</v>
      </c>
      <c r="C54" s="100"/>
      <c r="D54" s="100"/>
      <c r="E54" s="100"/>
      <c r="F54" s="101"/>
      <c r="G54" s="22">
        <f>(G53)*'Fane 13. Nøgletal'!C33</f>
        <v>64398.314078931588</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5" t="s">
        <v>144</v>
      </c>
      <c r="C57" s="106"/>
      <c r="D57" s="106"/>
      <c r="E57" s="106"/>
      <c r="F57" s="106"/>
      <c r="G57" s="106"/>
      <c r="H57" s="107"/>
      <c r="I57" s="1"/>
    </row>
    <row r="58" spans="1:9" x14ac:dyDescent="0.25">
      <c r="A58" s="1"/>
      <c r="B58" s="99" t="s">
        <v>145</v>
      </c>
      <c r="C58" s="100"/>
      <c r="D58" s="100"/>
      <c r="E58" s="100"/>
      <c r="F58" s="101"/>
      <c r="G58" s="22">
        <f>(G53-G54)*(1+'Fane 13. Nøgletal'!C16)</f>
        <v>3410483.1949689533</v>
      </c>
      <c r="H58" s="14" t="s">
        <v>3</v>
      </c>
      <c r="I58" s="1"/>
    </row>
    <row r="59" spans="1:9" x14ac:dyDescent="0.25">
      <c r="A59" s="1"/>
      <c r="B59" s="99" t="s">
        <v>146</v>
      </c>
      <c r="C59" s="100"/>
      <c r="D59" s="100"/>
      <c r="E59" s="100"/>
      <c r="F59" s="101"/>
      <c r="G59" s="22">
        <f>(G58)*'Fane 13. Nøgletal'!C33</f>
        <v>68209.663899379069</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5" t="s">
        <v>220</v>
      </c>
      <c r="C62" s="106"/>
      <c r="D62" s="106"/>
      <c r="E62" s="106"/>
      <c r="F62" s="106"/>
      <c r="G62" s="106"/>
      <c r="H62" s="107"/>
      <c r="I62" s="1"/>
    </row>
    <row r="63" spans="1:9" x14ac:dyDescent="0.25">
      <c r="A63" s="1"/>
      <c r="B63" s="99" t="s">
        <v>221</v>
      </c>
      <c r="C63" s="100"/>
      <c r="D63" s="100"/>
      <c r="E63" s="100"/>
      <c r="F63" s="101"/>
      <c r="G63" s="22">
        <f>(G58-G59)*(1+'Fane 13. Nøgletal'!C16)</f>
        <v>3612329.2323799958</v>
      </c>
      <c r="H63" s="14" t="s">
        <v>3</v>
      </c>
      <c r="I63" s="1"/>
    </row>
    <row r="64" spans="1:9" x14ac:dyDescent="0.25">
      <c r="A64" s="1"/>
      <c r="B64" s="99" t="s">
        <v>222</v>
      </c>
      <c r="C64" s="100"/>
      <c r="D64" s="100"/>
      <c r="E64" s="100"/>
      <c r="F64" s="101"/>
      <c r="G64" s="22">
        <f>(G63)*'Fane 13. Nøgletal'!C33</f>
        <v>72246.584647599913</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PgqSfv3Vim9YqGF2DI10BoJCXImMlvGChMlLPOCWBU0VOQB9sWrl63SF8ZZZvWOBnOpUpnuSr0vsUWs+8NLnVw==" saltValue="SfyQbU0Q569ECKPqBytjrg==" spinCount="100000" sheet="1" objects="1" scenarios="1"/>
  <mergeCells count="42">
    <mergeCell ref="B62:H62"/>
    <mergeCell ref="B63:F63"/>
    <mergeCell ref="B64:F64"/>
    <mergeCell ref="B59:F59"/>
    <mergeCell ref="B52:H52"/>
    <mergeCell ref="B53:F53"/>
    <mergeCell ref="B54:F54"/>
    <mergeCell ref="B58:F58"/>
    <mergeCell ref="B37:F37"/>
    <mergeCell ref="B46:H46"/>
    <mergeCell ref="B48:F48"/>
    <mergeCell ref="B36:F36"/>
    <mergeCell ref="B57:H57"/>
    <mergeCell ref="B47:F47"/>
    <mergeCell ref="B49:F49"/>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08" t="s">
        <v>91</v>
      </c>
      <c r="C1" s="109"/>
      <c r="D1" s="109"/>
      <c r="E1" s="109"/>
      <c r="F1" s="109"/>
      <c r="G1" s="109"/>
      <c r="H1" s="109"/>
      <c r="I1" s="1"/>
    </row>
    <row r="2" spans="1:9" ht="19.899999999999999" customHeight="1" x14ac:dyDescent="0.25">
      <c r="A2" s="1"/>
      <c r="B2" s="109"/>
      <c r="C2" s="109"/>
      <c r="D2" s="109"/>
      <c r="E2" s="109"/>
      <c r="F2" s="109"/>
      <c r="G2" s="109"/>
      <c r="H2" s="109"/>
      <c r="I2" s="1"/>
    </row>
    <row r="3" spans="1:9" ht="15" customHeight="1" x14ac:dyDescent="0.25">
      <c r="A3" s="1"/>
      <c r="B3" s="110"/>
      <c r="C3" s="110"/>
      <c r="D3" s="110"/>
      <c r="E3" s="110"/>
      <c r="F3" s="110"/>
      <c r="G3" s="110"/>
      <c r="H3" s="110"/>
      <c r="I3" s="1"/>
    </row>
    <row r="4" spans="1:9" x14ac:dyDescent="0.25">
      <c r="A4" s="1"/>
      <c r="B4" s="105" t="s">
        <v>48</v>
      </c>
      <c r="C4" s="106"/>
      <c r="D4" s="106"/>
      <c r="E4" s="106"/>
      <c r="F4" s="106"/>
      <c r="G4" s="106"/>
      <c r="H4" s="107"/>
      <c r="I4" s="1"/>
    </row>
    <row r="5" spans="1:9" x14ac:dyDescent="0.25">
      <c r="A5" s="1"/>
      <c r="B5" s="99" t="s">
        <v>51</v>
      </c>
      <c r="C5" s="100"/>
      <c r="D5" s="100"/>
      <c r="E5" s="100"/>
      <c r="F5" s="101"/>
      <c r="G5" s="47">
        <v>3119972</v>
      </c>
      <c r="H5" s="14" t="s">
        <v>3</v>
      </c>
      <c r="I5" s="1"/>
    </row>
    <row r="6" spans="1:9" x14ac:dyDescent="0.25">
      <c r="A6" s="1"/>
      <c r="B6" s="99" t="s">
        <v>49</v>
      </c>
      <c r="C6" s="100"/>
      <c r="D6" s="100"/>
      <c r="E6" s="100"/>
      <c r="F6" s="101"/>
      <c r="G6" s="22">
        <f>G5*'Fane 13. Nøgletal'!C21</f>
        <v>28391.745200000001</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5" t="s">
        <v>52</v>
      </c>
      <c r="C9" s="106"/>
      <c r="D9" s="106"/>
      <c r="E9" s="106"/>
      <c r="F9" s="106"/>
      <c r="G9" s="106"/>
      <c r="H9" s="107"/>
      <c r="I9" s="1"/>
    </row>
    <row r="10" spans="1:9" x14ac:dyDescent="0.25">
      <c r="A10" s="1"/>
      <c r="B10" s="99" t="s">
        <v>53</v>
      </c>
      <c r="C10" s="100"/>
      <c r="D10" s="100"/>
      <c r="E10" s="100"/>
      <c r="F10" s="101"/>
      <c r="G10" s="22">
        <f>(G5-G6)*(1+'Fane 13. Nøgletal'!C9)</f>
        <v>3130843.3240359602</v>
      </c>
      <c r="H10" s="14" t="s">
        <v>3</v>
      </c>
      <c r="I10" s="1"/>
    </row>
    <row r="11" spans="1:9" x14ac:dyDescent="0.25">
      <c r="A11" s="1"/>
      <c r="B11" s="102" t="s">
        <v>54</v>
      </c>
      <c r="C11" s="103"/>
      <c r="D11" s="103"/>
      <c r="E11" s="103"/>
      <c r="F11" s="104"/>
      <c r="G11" s="48">
        <v>0</v>
      </c>
      <c r="H11" s="14" t="s">
        <v>3</v>
      </c>
      <c r="I11" s="1"/>
    </row>
    <row r="12" spans="1:9" x14ac:dyDescent="0.25">
      <c r="A12" s="1"/>
      <c r="B12" s="99" t="s">
        <v>55</v>
      </c>
      <c r="C12" s="100"/>
      <c r="D12" s="100"/>
      <c r="E12" s="100"/>
      <c r="F12" s="101"/>
      <c r="G12" s="22">
        <f>G10*'Fane 13. Nøgletal'!C21+G11*'Fane 13. Nøgletal'!C22</f>
        <v>28490.674248727239</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5" t="s">
        <v>56</v>
      </c>
      <c r="C15" s="106"/>
      <c r="D15" s="106"/>
      <c r="E15" s="106"/>
      <c r="F15" s="106"/>
      <c r="G15" s="106"/>
      <c r="H15" s="107"/>
      <c r="I15" s="1"/>
    </row>
    <row r="16" spans="1:9" x14ac:dyDescent="0.25">
      <c r="A16" s="1"/>
      <c r="B16" s="99" t="s">
        <v>57</v>
      </c>
      <c r="C16" s="100"/>
      <c r="D16" s="100"/>
      <c r="E16" s="100"/>
      <c r="F16" s="101"/>
      <c r="G16" s="22">
        <f>(G10+G11-G12)*(1+'Fane 13. Nøgletal'!C11)</f>
        <v>3154782.4095686371</v>
      </c>
      <c r="H16" s="14" t="s">
        <v>3</v>
      </c>
      <c r="I16" s="1"/>
    </row>
    <row r="17" spans="1:9" x14ac:dyDescent="0.25">
      <c r="A17" s="1"/>
      <c r="B17" s="99" t="s">
        <v>101</v>
      </c>
      <c r="C17" s="100"/>
      <c r="D17" s="100"/>
      <c r="E17" s="100"/>
      <c r="F17" s="101"/>
      <c r="G17" s="47">
        <v>0</v>
      </c>
      <c r="H17" s="14" t="s">
        <v>3</v>
      </c>
      <c r="I17" s="1"/>
    </row>
    <row r="18" spans="1:9" x14ac:dyDescent="0.25">
      <c r="A18" s="1"/>
      <c r="B18" s="102" t="s">
        <v>58</v>
      </c>
      <c r="C18" s="103"/>
      <c r="D18" s="103"/>
      <c r="E18" s="103"/>
      <c r="F18" s="104"/>
      <c r="G18" s="47">
        <v>0</v>
      </c>
      <c r="H18" s="14" t="s">
        <v>3</v>
      </c>
      <c r="I18" s="1"/>
    </row>
    <row r="19" spans="1:9" x14ac:dyDescent="0.25">
      <c r="A19" s="1"/>
      <c r="B19" s="99" t="s">
        <v>59</v>
      </c>
      <c r="C19" s="100"/>
      <c r="D19" s="100"/>
      <c r="E19" s="100"/>
      <c r="F19" s="101"/>
      <c r="G19" s="22">
        <f>(G16+G17+G18)*'Fane 13. Nøgletal'!C23</f>
        <v>27446.606963247141</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5" t="s">
        <v>60</v>
      </c>
      <c r="C22" s="106"/>
      <c r="D22" s="106"/>
      <c r="E22" s="106"/>
      <c r="F22" s="106"/>
      <c r="G22" s="106"/>
      <c r="H22" s="107"/>
      <c r="I22" s="1"/>
    </row>
    <row r="23" spans="1:9" x14ac:dyDescent="0.25">
      <c r="A23" s="1"/>
      <c r="B23" s="99" t="s">
        <v>61</v>
      </c>
      <c r="C23" s="100"/>
      <c r="D23" s="100"/>
      <c r="E23" s="100"/>
      <c r="F23" s="101"/>
      <c r="G23" s="22">
        <f>(SUM(G16:G18)-G19)*(1+'Fane 13. Nøgletal'!C11)</f>
        <v>3180187.7776694209</v>
      </c>
      <c r="H23" s="14" t="s">
        <v>3</v>
      </c>
      <c r="I23" s="1"/>
    </row>
    <row r="24" spans="1:9" x14ac:dyDescent="0.25">
      <c r="A24" s="1"/>
      <c r="B24" s="102" t="s">
        <v>62</v>
      </c>
      <c r="C24" s="103"/>
      <c r="D24" s="103"/>
      <c r="E24" s="103"/>
      <c r="F24" s="104"/>
      <c r="G24" s="47">
        <v>0</v>
      </c>
      <c r="H24" s="14" t="s">
        <v>3</v>
      </c>
      <c r="I24" s="1"/>
    </row>
    <row r="25" spans="1:9" x14ac:dyDescent="0.25">
      <c r="A25" s="1"/>
      <c r="B25" s="99" t="s">
        <v>63</v>
      </c>
      <c r="C25" s="100"/>
      <c r="D25" s="100"/>
      <c r="E25" s="100"/>
      <c r="F25" s="101"/>
      <c r="G25" s="22">
        <f>G23*'Fane 13. Nøgletal'!C23+G24*'Fane 13. Nøgletal'!C24</f>
        <v>27667.633665723959</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5" t="s">
        <v>119</v>
      </c>
      <c r="C28" s="106"/>
      <c r="D28" s="106"/>
      <c r="E28" s="106"/>
      <c r="F28" s="106"/>
      <c r="G28" s="106"/>
      <c r="H28" s="107"/>
      <c r="I28" s="1"/>
    </row>
    <row r="29" spans="1:9" x14ac:dyDescent="0.25">
      <c r="A29" s="1"/>
      <c r="B29" s="99" t="s">
        <v>64</v>
      </c>
      <c r="C29" s="100"/>
      <c r="D29" s="100"/>
      <c r="E29" s="100"/>
      <c r="F29" s="101"/>
      <c r="G29" s="22">
        <f>(G23+G24-G25)*(1+'Fane 13. Nøgletal'!C13)</f>
        <v>3190980.8897605417</v>
      </c>
      <c r="H29" s="14" t="s">
        <v>3</v>
      </c>
      <c r="I29" s="1"/>
    </row>
    <row r="30" spans="1:9" x14ac:dyDescent="0.25">
      <c r="A30" s="1"/>
      <c r="B30" s="99" t="s">
        <v>113</v>
      </c>
      <c r="C30" s="100"/>
      <c r="D30" s="100"/>
      <c r="E30" s="100"/>
      <c r="F30" s="101"/>
      <c r="G30" s="47">
        <v>0</v>
      </c>
      <c r="H30" s="14" t="s">
        <v>3</v>
      </c>
      <c r="I30" s="1"/>
    </row>
    <row r="31" spans="1:9" x14ac:dyDescent="0.25">
      <c r="A31" s="1"/>
      <c r="B31" s="99" t="s">
        <v>120</v>
      </c>
      <c r="C31" s="100"/>
      <c r="D31" s="100"/>
      <c r="E31" s="100"/>
      <c r="F31" s="101"/>
      <c r="G31" s="22">
        <f>(G29+G30)*'Fane 13. Nøgletal'!C25</f>
        <v>87751.974468414905</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5" t="s">
        <v>124</v>
      </c>
      <c r="C34" s="106"/>
      <c r="D34" s="106"/>
      <c r="E34" s="106"/>
      <c r="F34" s="106"/>
      <c r="G34" s="106"/>
      <c r="H34" s="107"/>
      <c r="I34" s="1"/>
    </row>
    <row r="35" spans="1:9" x14ac:dyDescent="0.25">
      <c r="A35" s="1"/>
      <c r="B35" s="99" t="s">
        <v>67</v>
      </c>
      <c r="C35" s="100"/>
      <c r="D35" s="100"/>
      <c r="E35" s="100"/>
      <c r="F35" s="101"/>
      <c r="G35" s="22">
        <f>(G29+G30-G31)*(1+'Fane 13. Nøgletal'!C13)</f>
        <v>3141088.3080586907</v>
      </c>
      <c r="H35" s="14" t="s">
        <v>3</v>
      </c>
      <c r="I35" s="1"/>
    </row>
    <row r="36" spans="1:9" x14ac:dyDescent="0.25">
      <c r="A36" s="1"/>
      <c r="B36" s="99" t="s">
        <v>129</v>
      </c>
      <c r="C36" s="100"/>
      <c r="D36" s="100"/>
      <c r="E36" s="100"/>
      <c r="F36" s="101"/>
      <c r="G36" s="61">
        <v>0</v>
      </c>
      <c r="H36" s="14" t="s">
        <v>3</v>
      </c>
      <c r="I36" s="1"/>
    </row>
    <row r="37" spans="1:9" x14ac:dyDescent="0.25">
      <c r="A37" s="1"/>
      <c r="B37" s="99" t="s">
        <v>125</v>
      </c>
      <c r="C37" s="100"/>
      <c r="D37" s="100"/>
      <c r="E37" s="100"/>
      <c r="F37" s="101"/>
      <c r="G37" s="22">
        <f>G35*'Fane 13. Nøgletal'!C25+G36*'Fane 13. Nøgletal'!C26</f>
        <v>86379.928471613995</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5" t="s">
        <v>159</v>
      </c>
      <c r="C40" s="106"/>
      <c r="D40" s="106"/>
      <c r="E40" s="106"/>
      <c r="F40" s="106"/>
      <c r="G40" s="106"/>
      <c r="H40" s="107"/>
      <c r="I40" s="1"/>
    </row>
    <row r="41" spans="1:9" x14ac:dyDescent="0.25">
      <c r="A41" s="1"/>
      <c r="B41" s="99" t="s">
        <v>66</v>
      </c>
      <c r="C41" s="100"/>
      <c r="D41" s="100"/>
      <c r="E41" s="100"/>
      <c r="F41" s="101"/>
      <c r="G41" s="22">
        <f>(G35+G36-G37)*(1+'Fane 13. Nøgletal'!C15)</f>
        <v>3163455.9979003766</v>
      </c>
      <c r="H41" s="14" t="s">
        <v>3</v>
      </c>
      <c r="I41" s="1"/>
    </row>
    <row r="42" spans="1:9" x14ac:dyDescent="0.25">
      <c r="A42" s="1"/>
      <c r="B42" s="99" t="s">
        <v>169</v>
      </c>
      <c r="C42" s="100"/>
      <c r="D42" s="100"/>
      <c r="E42" s="100"/>
      <c r="F42" s="101"/>
      <c r="G42" s="61">
        <v>0</v>
      </c>
      <c r="H42" s="14" t="s">
        <v>3</v>
      </c>
      <c r="I42" s="1"/>
    </row>
    <row r="43" spans="1:9" x14ac:dyDescent="0.25">
      <c r="A43" s="1"/>
      <c r="B43" s="99" t="s">
        <v>65</v>
      </c>
      <c r="C43" s="100"/>
      <c r="D43" s="100"/>
      <c r="E43" s="100"/>
      <c r="F43" s="101"/>
      <c r="G43" s="9">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5" t="s">
        <v>160</v>
      </c>
      <c r="C46" s="106"/>
      <c r="D46" s="106"/>
      <c r="E46" s="106"/>
      <c r="F46" s="106"/>
      <c r="G46" s="106"/>
      <c r="H46" s="107"/>
      <c r="I46" s="1"/>
    </row>
    <row r="47" spans="1:9" x14ac:dyDescent="0.25">
      <c r="A47" s="1"/>
      <c r="B47" s="99" t="s">
        <v>114</v>
      </c>
      <c r="C47" s="100"/>
      <c r="D47" s="100"/>
      <c r="E47" s="100"/>
      <c r="F47" s="101"/>
      <c r="G47" s="22">
        <f>(G41+G42-G43)*(1+'Fane 13. Nøgletal'!C15)</f>
        <v>3276075.0314256302</v>
      </c>
      <c r="H47" s="14" t="s">
        <v>3</v>
      </c>
      <c r="I47" s="1"/>
    </row>
    <row r="48" spans="1:9" x14ac:dyDescent="0.25">
      <c r="A48" s="1"/>
      <c r="B48" s="99" t="s">
        <v>210</v>
      </c>
      <c r="C48" s="100"/>
      <c r="D48" s="100"/>
      <c r="E48" s="100"/>
      <c r="F48" s="101"/>
      <c r="G48" s="22">
        <f>('Fane 2.1. Økonomisk ramme 2024'!C10+'Fane 2.1. Økonomisk ramme 2024'!C12+'Fane 2.1. Økonomisk ramme 2024'!C14)*(1+'Fane 13. Nøgletal'!C16)</f>
        <v>6154.8698041600001</v>
      </c>
      <c r="H48" s="14" t="s">
        <v>3</v>
      </c>
      <c r="I48" s="1"/>
    </row>
    <row r="49" spans="1:9" x14ac:dyDescent="0.25">
      <c r="A49" s="1"/>
      <c r="B49" s="99" t="s">
        <v>211</v>
      </c>
      <c r="C49" s="100"/>
      <c r="D49" s="100"/>
      <c r="E49" s="100"/>
      <c r="F49" s="101"/>
      <c r="G49" s="9">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5" t="s">
        <v>130</v>
      </c>
      <c r="C52" s="106"/>
      <c r="D52" s="106"/>
      <c r="E52" s="106"/>
      <c r="F52" s="106"/>
      <c r="G52" s="106"/>
      <c r="H52" s="107"/>
      <c r="I52" s="1"/>
    </row>
    <row r="53" spans="1:9" x14ac:dyDescent="0.25">
      <c r="A53" s="1"/>
      <c r="B53" s="99" t="s">
        <v>131</v>
      </c>
      <c r="C53" s="100"/>
      <c r="D53" s="100"/>
      <c r="E53" s="100"/>
      <c r="F53" s="101"/>
      <c r="G53" s="22">
        <f>(G47+G48-G49)*(1+'Fane 13. Nøgletal'!C16)</f>
        <v>3547434.0772491572</v>
      </c>
      <c r="H53" s="14" t="s">
        <v>3</v>
      </c>
      <c r="I53" s="1"/>
    </row>
    <row r="54" spans="1:9" x14ac:dyDescent="0.25">
      <c r="A54" s="1"/>
      <c r="B54" s="99" t="s">
        <v>132</v>
      </c>
      <c r="C54" s="100"/>
      <c r="D54" s="100"/>
      <c r="E54" s="100"/>
      <c r="F54" s="101"/>
      <c r="G54" s="9">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5" t="s">
        <v>147</v>
      </c>
      <c r="C57" s="106"/>
      <c r="D57" s="106"/>
      <c r="E57" s="106"/>
      <c r="F57" s="106"/>
      <c r="G57" s="106"/>
      <c r="H57" s="107"/>
      <c r="I57" s="1"/>
    </row>
    <row r="58" spans="1:9" x14ac:dyDescent="0.25">
      <c r="A58" s="1"/>
      <c r="B58" s="99" t="s">
        <v>148</v>
      </c>
      <c r="C58" s="100"/>
      <c r="D58" s="100"/>
      <c r="E58" s="100"/>
      <c r="F58" s="101"/>
      <c r="G58" s="22">
        <f>(G53-G54)*(1+'Fane 13. Nøgletal'!C16)</f>
        <v>3834066.7506908891</v>
      </c>
      <c r="H58" s="14" t="s">
        <v>3</v>
      </c>
      <c r="I58" s="1"/>
    </row>
    <row r="59" spans="1:9" x14ac:dyDescent="0.25">
      <c r="A59" s="1"/>
      <c r="B59" s="99" t="s">
        <v>149</v>
      </c>
      <c r="C59" s="100"/>
      <c r="D59" s="100"/>
      <c r="E59" s="100"/>
      <c r="F59" s="101"/>
      <c r="G59" s="9">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5" t="s">
        <v>223</v>
      </c>
      <c r="C62" s="106"/>
      <c r="D62" s="106"/>
      <c r="E62" s="106"/>
      <c r="F62" s="106"/>
      <c r="G62" s="106"/>
      <c r="H62" s="107"/>
      <c r="I62" s="1"/>
    </row>
    <row r="63" spans="1:9" x14ac:dyDescent="0.25">
      <c r="A63" s="1"/>
      <c r="B63" s="99" t="s">
        <v>224</v>
      </c>
      <c r="C63" s="100"/>
      <c r="D63" s="100"/>
      <c r="E63" s="100"/>
      <c r="F63" s="101"/>
      <c r="G63" s="22">
        <f>(G58-G59)*(1+'Fane 13. Nøgletal'!C16)</f>
        <v>4143859.3441467127</v>
      </c>
      <c r="H63" s="14" t="s">
        <v>3</v>
      </c>
      <c r="I63" s="1"/>
    </row>
    <row r="64" spans="1:9" x14ac:dyDescent="0.25">
      <c r="A64" s="1"/>
      <c r="B64" s="99" t="s">
        <v>225</v>
      </c>
      <c r="C64" s="100"/>
      <c r="D64" s="100"/>
      <c r="E64" s="100"/>
      <c r="F64" s="101"/>
      <c r="G64" s="9">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tllcDY2C37gXqN7C4LRIIquM87skk4rmeRffwtohuO0pZ70rRqLeg5kf9VECrefFlcsz16aPEhuYzYSiGnKtgQ==" saltValue="3RNydWumunPJpr2f0dYTQg==" spinCount="100000" sheet="1" objects="1" scenarios="1"/>
  <mergeCells count="42">
    <mergeCell ref="B62:H62"/>
    <mergeCell ref="B63:F63"/>
    <mergeCell ref="B64:F64"/>
    <mergeCell ref="B57:H57"/>
    <mergeCell ref="B58:F58"/>
    <mergeCell ref="B59:F59"/>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9:F49"/>
    <mergeCell ref="B36:F36"/>
    <mergeCell ref="B42:F42"/>
    <mergeCell ref="B41:F41"/>
    <mergeCell ref="B40:H40"/>
    <mergeCell ref="B37:F37"/>
    <mergeCell ref="B46:H46"/>
    <mergeCell ref="B48:F48"/>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5" t="s">
        <v>77</v>
      </c>
      <c r="C3" s="95"/>
      <c r="D3" s="95"/>
      <c r="E3" s="95"/>
      <c r="F3" s="95"/>
      <c r="G3" s="95"/>
      <c r="H3" s="1"/>
    </row>
    <row r="4" spans="1:8" ht="15" customHeight="1" x14ac:dyDescent="0.25">
      <c r="A4" s="1"/>
      <c r="B4" s="95"/>
      <c r="C4" s="95"/>
      <c r="D4" s="95"/>
      <c r="E4" s="95"/>
      <c r="F4" s="95"/>
      <c r="G4" s="95"/>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5" t="s">
        <v>9</v>
      </c>
      <c r="C8" s="106"/>
      <c r="D8" s="106"/>
      <c r="E8" s="106"/>
      <c r="F8" s="106"/>
      <c r="G8" s="107"/>
      <c r="H8" s="1"/>
    </row>
    <row r="9" spans="1:8" x14ac:dyDescent="0.25">
      <c r="A9" s="1"/>
      <c r="B9" s="66" t="s">
        <v>150</v>
      </c>
      <c r="C9" s="67"/>
      <c r="D9" s="67"/>
      <c r="E9" s="67"/>
      <c r="F9" s="68"/>
      <c r="G9" s="51">
        <v>0</v>
      </c>
      <c r="H9" s="1"/>
    </row>
    <row r="10" spans="1:8" x14ac:dyDescent="0.25">
      <c r="A10" s="1"/>
      <c r="B10" s="52"/>
      <c r="C10" s="53"/>
      <c r="D10" s="53"/>
      <c r="E10" s="53"/>
      <c r="F10" s="53"/>
      <c r="G10" s="19"/>
      <c r="H10" s="1"/>
    </row>
    <row r="11" spans="1:8" ht="15" customHeight="1" x14ac:dyDescent="0.25">
      <c r="A11" s="1"/>
      <c r="B11" s="111" t="s">
        <v>236</v>
      </c>
      <c r="C11" s="112"/>
      <c r="D11" s="112"/>
      <c r="E11" s="112"/>
      <c r="F11" s="112"/>
      <c r="G11" s="113"/>
      <c r="H11" s="1"/>
    </row>
    <row r="12" spans="1:8" ht="13.5" customHeight="1" x14ac:dyDescent="0.25">
      <c r="A12" s="1"/>
      <c r="B12" s="114"/>
      <c r="C12" s="115"/>
      <c r="D12" s="115"/>
      <c r="E12" s="115"/>
      <c r="F12" s="115"/>
      <c r="G12" s="116"/>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9UJxCRtZvsCXHcYcdPG6vBinxZpbDUnVvA7XivR+GxIJ5qtSVQsOaaj2CkfJjrQL+fNj9y05XcHhFZmfzZ2a0A==" saltValue="xo55aGMz6AOdNJmghuYNOw=="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2023-11-02T18:25:18Z</dcterms:modified>
</cp:coreProperties>
</file>