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Sjælsø AS (V16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C30" i="2" s="1"/>
  <c r="E37" i="32" l="1"/>
  <c r="C14" i="19"/>
  <c r="C23" i="23" l="1"/>
  <c r="C23" i="22"/>
  <c r="C24" i="15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<sst xmlns="http://schemas.openxmlformats.org/spreadsheetml/2006/main" count="623" uniqueCount="255">
  <si>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</si>
  <si>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</si>
  <si>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</si>
  <si>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</si>
  <si>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</si>
  <si>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</si>
  <si>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</si>
  <si>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</si>
  <si>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</si>
  <si>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</si>
  <si>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</si>
  <si>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</si>
  <si>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</si>
  <si>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</si>
  <si>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</si>
  <si>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</si>
  <si>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</si>
  <si>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</si>
  <si>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</si>
  <si>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</si>
  <si>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</si>
  <si>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</si>
  <si>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</si>
  <si>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</si>
  <si>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</si>
  <si>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</si>
  <si>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</si>
  <si>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</si>
  <si>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</si>
  <si>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</si>
  <si>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</si>
  <si>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</si>
  <si>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</si>
  <si>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</si>
  <si>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</si>
  <si>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</si>
  <si>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</si>
  <si>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</si>
  <si>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</si>
  <si>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</si>
  <si>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</si>
  <si>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</si>
  <si>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</si>
  <si>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</si>
  <si>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</si>
  <si>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</si>
  <si>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</si>
  <si>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</si>
  <si>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</si>
  <si>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</si>
  <si>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</si>
  <si>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</si>
  <si>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</si>
  <si>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</si>
  <si>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</si>
  <si>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</si>
  <si>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</si>
  <si>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</si>
  <si>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</si>
  <si>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</si>
  <si>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</si>
  <si>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</si>
  <si>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</si>
  <si>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</si>
  <si>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</si>
  <si>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</si>
  <si>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</si>
  <si>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</si>
  <si>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</si>
  <si>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</si>
  <si>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</si>
  <si>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</si>
  <si>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</si>
  <si>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</si>
  <si>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</si>
  <si>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</si>
  <si>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</si>
  <si>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</si>
  <si>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</si>
  <si>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</si>
  <si>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</si>
  <si>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</si>
  <si>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</si>
  <si>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</si>
  <si>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</si>
  <si>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</si>
  <si>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</si>
  <si>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</si>
  <si>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</si>
  <si>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</si>
  <si>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</si>
  <si>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</si>
  <si>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</si>
  <si>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</si>
  <si>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</si>
  <si>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</si>
  <si>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</si>
  <si>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</si>
  <si>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</si>
  <si>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</si>
  <si>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</si>
  <si>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</si>
  <si>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</si>
  <si>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</si>
  <si>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</si>
  <si>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</si>
  <si>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</si>
  <si>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</si>
  <si>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</si>
  <si>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</si>
  <si>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</si>
  <si>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</si>
  <si>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</si>
  <si>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</si>
  <si>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</si>
  <si>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</si>
  <si>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</si>
  <si>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</si>
  <si>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</si>
  <si>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</si>
  <si>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</si>
  <si>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</si>
  <si>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</si>
  <si>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</si>
  <si>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</si>
  <si>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</si>
  <si>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</si>
  <si>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</si>
  <si>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</si>
  <si>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</si>
  <si>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</si>
  <si>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</si>
  <si>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</si>
  <si>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</si>
  <si>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</si>
  <si>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</si>
  <si>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</si>
  <si>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</si>
  <si>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</si>
  <si>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</si>
  <si>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</si>
  <si>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</si>
  <si>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</si>
  <si>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</si>
  <si>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</si>
  <si>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</si>
  <si>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</si>
  <si>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</si>
  <si>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</si>
  <si>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</si>
  <si>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</si>
  <si>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</si>
  <si>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</si>
  <si>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</si>
  <si>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</si>
  <si>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</si>
  <si>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</si>
  <si>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</si>
  <si>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</si>
  <si>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</si>
  <si>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</si>
  <si>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</si>
  <si>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</si>
  <si>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</si>
  <si>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</si>
  <si>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</si>
  <si>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</si>
  <si>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</si>
  <si>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</si>
  <si>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</si>
  <si>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</si>
  <si>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</si>
  <si>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</si>
  <si>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</si>
  <si>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</si>
  <si>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</si>
  <si>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</si>
  <si>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</si>
  <si>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</si>
  <si>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</si>
  <si>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</si>
  <si>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</si>
  <si>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</si>
  <si>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</si>
  <si>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</si>
  <si>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</si>
  <si>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</si>
  <si>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</si>
  <si>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</si>
  <si>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</si>
  <si>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</si>
  <si>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</si>
  <si>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</si>
  <si>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</si>
  <si>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</si>
  <si>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</si>
  <si>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</si>
  <si>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</si>
  <si>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</si>
  <si>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</si>
  <si>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</si>
  <si>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</si>
  <si>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</si>
  <si>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</si>
  <si>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</si>
  <si>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</si>
  <si>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</si>
  <si>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</si>
  <si>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</si>
  <si>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</si>
  <si>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</si>
  <si>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</si>
  <si>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</si>
  <si>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</si>
  <si>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</si>
  <si>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</si>
  <si>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</si>
  <si>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</si>
  <si>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</si>
  <si>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</si>
  <si>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</si>
  <si>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</si>
  <si>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</si>
  <si>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</si>
  <si>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</si>
  <si>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</si>
  <si>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</si>
  <si>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Pesticider og DMS</t>
  </si>
  <si>
    <t>Ingen tilknyttet virksomhed</t>
  </si>
  <si>
    <t>Nødvendige udgifter som følge af vandindvinding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</si>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</sst>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wrapText="1"/>
    </xf>
    <xf numFmtId="164" fontId="8" fillId="8" borderId="1" xfId="1" applyNumberFormat="1" applyFont="1" applyFill="1" applyBorder="1" applyProtection="1"/>
    <xf numFmtId="166" fontId="8" fillId="8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6" t="s">
        <v>4</v>
      </c>
      <c r="E6" s="86"/>
      <c r="F6" s="86"/>
      <c r="G6" s="86"/>
      <c r="H6" s="3"/>
      <c r="I6" s="1"/>
    </row>
    <row r="7" spans="1:9" ht="15" customHeight="1" x14ac:dyDescent="0.25">
      <c r="A7" s="1"/>
      <c r="B7" s="1"/>
      <c r="C7" s="3"/>
      <c r="D7" s="86"/>
      <c r="E7" s="86"/>
      <c r="F7" s="86"/>
      <c r="G7" s="86"/>
      <c r="H7" s="3"/>
      <c r="I7" s="1"/>
    </row>
    <row r="8" spans="1:9" ht="15.75" x14ac:dyDescent="0.25">
      <c r="A8" s="1"/>
      <c r="B8" s="1"/>
      <c r="C8" s="4"/>
      <c r="D8" s="88" t="s">
        <v>180</v>
      </c>
      <c r="E8" s="88"/>
      <c r="F8" s="88"/>
      <c r="G8" s="8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7" t="s">
        <v>5</v>
      </c>
      <c r="E11" s="87"/>
      <c r="F11" s="87"/>
      <c r="G11" s="8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3" t="s">
        <v>163</v>
      </c>
      <c r="E13" s="84"/>
      <c r="F13" s="84"/>
      <c r="G13" s="85"/>
      <c r="H13" s="1"/>
      <c r="I13" s="1"/>
    </row>
    <row r="14" spans="1:9" x14ac:dyDescent="0.25">
      <c r="A14" s="1"/>
      <c r="B14" s="1"/>
      <c r="C14" s="6" t="s">
        <v>15</v>
      </c>
      <c r="D14" s="83" t="s">
        <v>83</v>
      </c>
      <c r="E14" s="84"/>
      <c r="F14" s="84"/>
      <c r="G14" s="85"/>
      <c r="H14" s="1"/>
      <c r="I14" s="1"/>
    </row>
    <row r="15" spans="1:9" x14ac:dyDescent="0.25">
      <c r="A15" s="1"/>
      <c r="B15" s="1"/>
      <c r="C15" s="6" t="s">
        <v>35</v>
      </c>
      <c r="D15" s="83" t="s">
        <v>128</v>
      </c>
      <c r="E15" s="84"/>
      <c r="F15" s="84"/>
      <c r="G15" s="85"/>
      <c r="H15" s="1"/>
      <c r="I15" s="1"/>
    </row>
    <row r="16" spans="1:9" x14ac:dyDescent="0.25">
      <c r="A16" s="1"/>
      <c r="B16" s="1"/>
      <c r="C16" s="6" t="s">
        <v>36</v>
      </c>
      <c r="D16" s="83" t="s">
        <v>181</v>
      </c>
      <c r="E16" s="84"/>
      <c r="F16" s="84"/>
      <c r="G16" s="85"/>
      <c r="H16" s="1"/>
      <c r="I16" s="1"/>
    </row>
    <row r="17" spans="1:9" x14ac:dyDescent="0.25">
      <c r="A17" s="1"/>
      <c r="B17" s="1"/>
      <c r="C17" s="6" t="s">
        <v>127</v>
      </c>
      <c r="D17" s="83" t="s">
        <v>182</v>
      </c>
      <c r="E17" s="84"/>
      <c r="F17" s="84"/>
      <c r="G17" s="85"/>
      <c r="H17" s="1"/>
      <c r="I17" s="1"/>
    </row>
    <row r="18" spans="1:9" x14ac:dyDescent="0.25">
      <c r="A18" s="1"/>
      <c r="B18" s="1"/>
      <c r="C18" s="32" t="s">
        <v>111</v>
      </c>
      <c r="D18" s="89" t="s">
        <v>100</v>
      </c>
      <c r="E18" s="90"/>
      <c r="F18" s="90"/>
      <c r="G18" s="91"/>
      <c r="H18" s="1"/>
      <c r="I18" s="1"/>
    </row>
    <row r="19" spans="1:9" x14ac:dyDescent="0.25">
      <c r="A19" s="1"/>
      <c r="B19" s="1"/>
      <c r="C19" s="32" t="s">
        <v>112</v>
      </c>
      <c r="D19" s="89" t="s">
        <v>101</v>
      </c>
      <c r="E19" s="90"/>
      <c r="F19" s="90"/>
      <c r="G19" s="91"/>
      <c r="H19" s="1"/>
      <c r="I19" s="1"/>
    </row>
    <row r="20" spans="1:9" x14ac:dyDescent="0.25">
      <c r="A20" s="1"/>
      <c r="B20" s="1"/>
      <c r="C20" s="32" t="s">
        <v>7</v>
      </c>
      <c r="D20" s="89" t="s">
        <v>9</v>
      </c>
      <c r="E20" s="90"/>
      <c r="F20" s="90"/>
      <c r="G20" s="91"/>
      <c r="H20" s="1"/>
      <c r="I20" s="1"/>
    </row>
    <row r="21" spans="1:9" x14ac:dyDescent="0.25">
      <c r="A21" s="1"/>
      <c r="B21" s="1"/>
      <c r="C21" s="6" t="s">
        <v>113</v>
      </c>
      <c r="D21" s="80" t="s">
        <v>12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87</v>
      </c>
      <c r="D22" s="74" t="s">
        <v>183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37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170</v>
      </c>
      <c r="D24" s="74" t="s">
        <v>88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171</v>
      </c>
      <c r="D25" s="74" t="s">
        <v>89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172</v>
      </c>
      <c r="D26" s="74" t="s">
        <v>129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114</v>
      </c>
      <c r="D27" s="74" t="s">
        <v>38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108</v>
      </c>
      <c r="D28" s="77" t="s">
        <v>109</v>
      </c>
      <c r="E28" s="78"/>
      <c r="F28" s="78"/>
      <c r="G28" s="7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/J7m5YziM3fwDnD6I+6F+HA0uaZopcT55wn3ISNYF/4+YiFwZNHc3fC7L9nEMEqcHwrjYWlK7kTLKRNiB0HXg==" saltValue="QNcZR32zo0OyELYFo4wQYQ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2" t="s">
        <v>117</v>
      </c>
      <c r="C3" s="92"/>
      <c r="D3" s="92"/>
      <c r="E3" s="1"/>
      <c r="F3" s="1"/>
    </row>
    <row r="4" spans="1:6" ht="15" customHeight="1" x14ac:dyDescent="0.25">
      <c r="A4" s="1"/>
      <c r="B4" s="92"/>
      <c r="C4" s="92"/>
      <c r="D4" s="9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8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9" t="s">
        <v>230</v>
      </c>
      <c r="C10" s="9">
        <v>178395</v>
      </c>
      <c r="D10" s="14" t="s">
        <v>3</v>
      </c>
      <c r="E10" s="1"/>
      <c r="F10" s="1"/>
    </row>
    <row r="11" spans="1:6" x14ac:dyDescent="0.25">
      <c r="A11" s="1"/>
      <c r="B11" s="69" t="s">
        <v>231</v>
      </c>
      <c r="C11" s="9">
        <v>189959</v>
      </c>
      <c r="D11" s="14" t="s">
        <v>3</v>
      </c>
      <c r="E11" s="1"/>
      <c r="F11" s="1"/>
    </row>
    <row r="12" spans="1:6" x14ac:dyDescent="0.25">
      <c r="A12" s="1"/>
      <c r="B12" s="69" t="s">
        <v>232</v>
      </c>
      <c r="C12" s="9">
        <v>258759</v>
      </c>
      <c r="D12" s="14" t="s">
        <v>3</v>
      </c>
      <c r="E12" s="1"/>
      <c r="F12" s="1"/>
    </row>
    <row r="13" spans="1:6" x14ac:dyDescent="0.25">
      <c r="A13" s="1"/>
      <c r="B13" s="69" t="s">
        <v>233</v>
      </c>
      <c r="C13" s="9">
        <v>920311</v>
      </c>
      <c r="D13" s="14" t="s">
        <v>3</v>
      </c>
      <c r="E13" s="1"/>
      <c r="F13" s="1"/>
    </row>
    <row r="14" spans="1:6" x14ac:dyDescent="0.25">
      <c r="A14" s="1"/>
      <c r="B14" s="61" t="s">
        <v>205</v>
      </c>
      <c r="C14" s="12">
        <f>SUM(C10:C13)</f>
        <v>1547424</v>
      </c>
      <c r="D14" s="13" t="s">
        <v>3</v>
      </c>
      <c r="E14" s="1"/>
      <c r="F14" s="1"/>
    </row>
    <row r="15" spans="1:6" x14ac:dyDescent="0.25">
      <c r="A15" s="1"/>
      <c r="B15" s="61" t="s">
        <v>206</v>
      </c>
      <c r="C15" s="12">
        <f>C14*(1+'Fane 12. Nøgletal'!C14)^2</f>
        <v>1557653.8498473603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J8SWubzToEwoxPkOoeNQSAJU7bb9WYetwWpB9uAbcTc/VLjrB2jGq/7l+U0FTrzOvVgDn68quVo5lq22O8sVQg==" saltValue="38N42/yuw32kZ876i8aOo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0" t="s">
        <v>221</v>
      </c>
      <c r="C3" s="100"/>
      <c r="D3" s="100"/>
      <c r="E3" s="100"/>
      <c r="F3" s="100"/>
      <c r="G3" s="1"/>
    </row>
    <row r="4" spans="1:7" ht="15" customHeight="1" x14ac:dyDescent="0.25">
      <c r="A4" s="1"/>
      <c r="B4" s="100"/>
      <c r="C4" s="100"/>
      <c r="D4" s="100"/>
      <c r="E4" s="100"/>
      <c r="F4" s="100"/>
      <c r="G4" s="1"/>
    </row>
    <row r="5" spans="1:7" ht="15" customHeight="1" x14ac:dyDescent="0.25">
      <c r="A5" s="1"/>
      <c r="B5" s="56"/>
      <c r="C5" s="56"/>
      <c r="D5" s="56"/>
      <c r="E5" s="56"/>
      <c r="F5" s="56"/>
      <c r="G5" s="1"/>
    </row>
    <row r="6" spans="1:7" ht="15" customHeight="1" x14ac:dyDescent="0.25">
      <c r="A6" s="1"/>
      <c r="B6" s="56"/>
      <c r="C6" s="56"/>
      <c r="D6" s="56"/>
      <c r="E6" s="56"/>
      <c r="F6" s="5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236</v>
      </c>
      <c r="C8" s="116"/>
      <c r="D8" s="116"/>
      <c r="E8" s="116"/>
      <c r="F8" s="117"/>
      <c r="G8" s="1"/>
    </row>
    <row r="9" spans="1:7" x14ac:dyDescent="0.25">
      <c r="A9" s="1"/>
      <c r="B9" s="118" t="s">
        <v>237</v>
      </c>
      <c r="C9" s="119"/>
      <c r="D9" s="120"/>
      <c r="E9" s="9">
        <v>332156.99676592276</v>
      </c>
      <c r="F9" s="14" t="s">
        <v>3</v>
      </c>
      <c r="G9" s="1"/>
    </row>
    <row r="10" spans="1:7" x14ac:dyDescent="0.25">
      <c r="A10" s="1"/>
      <c r="B10" s="118" t="s">
        <v>238</v>
      </c>
      <c r="C10" s="119"/>
      <c r="D10" s="120"/>
      <c r="E10" s="9">
        <v>-549058.26883175597</v>
      </c>
      <c r="F10" s="14" t="s">
        <v>3</v>
      </c>
      <c r="G10" s="1"/>
    </row>
    <row r="11" spans="1:7" x14ac:dyDescent="0.25">
      <c r="A11" s="1"/>
      <c r="B11" s="118" t="s">
        <v>239</v>
      </c>
      <c r="C11" s="119"/>
      <c r="D11" s="120"/>
      <c r="E11" s="9">
        <v>-865961.22646497563</v>
      </c>
      <c r="F11" s="14" t="s">
        <v>3</v>
      </c>
      <c r="G11" s="1"/>
    </row>
    <row r="12" spans="1:7" x14ac:dyDescent="0.25">
      <c r="A12" s="1"/>
      <c r="B12" s="118" t="s">
        <v>240</v>
      </c>
      <c r="C12" s="119"/>
      <c r="D12" s="120"/>
      <c r="E12" s="9">
        <f>IF(OR(AND(E10&gt;0,E11&lt;0),AND(E11&lt;0,E34&gt;0)),E17+E18,E11)</f>
        <v>-865961.22646497563</v>
      </c>
      <c r="F12" s="14" t="s">
        <v>3</v>
      </c>
      <c r="G12" s="1"/>
    </row>
    <row r="13" spans="1:7" x14ac:dyDescent="0.25">
      <c r="A13" s="1"/>
      <c r="B13" s="61"/>
      <c r="C13" s="62"/>
      <c r="D13" s="62"/>
      <c r="E13" s="62"/>
      <c r="F13" s="20"/>
      <c r="G13" s="1"/>
    </row>
    <row r="14" spans="1:7" ht="54.75" customHeight="1" x14ac:dyDescent="0.25">
      <c r="A14" s="1"/>
      <c r="B14" s="104" t="s">
        <v>241</v>
      </c>
      <c r="C14" s="105"/>
      <c r="D14" s="105"/>
      <c r="E14" s="105"/>
      <c r="F14" s="106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242</v>
      </c>
      <c r="C16" s="116"/>
      <c r="D16" s="116"/>
      <c r="E16" s="116"/>
      <c r="F16" s="117"/>
      <c r="G16" s="1"/>
    </row>
    <row r="17" spans="1:7" x14ac:dyDescent="0.25">
      <c r="A17" s="1"/>
      <c r="B17" s="118" t="s">
        <v>243</v>
      </c>
      <c r="C17" s="119"/>
      <c r="D17" s="120"/>
      <c r="E17" s="9">
        <v>-541431.13603291661</v>
      </c>
      <c r="F17" s="14" t="s">
        <v>3</v>
      </c>
      <c r="G17" s="1"/>
    </row>
    <row r="18" spans="1:7" x14ac:dyDescent="0.25">
      <c r="A18" s="1"/>
      <c r="B18" s="118" t="s">
        <v>244</v>
      </c>
      <c r="C18" s="119"/>
      <c r="D18" s="120"/>
      <c r="E18" s="9">
        <v>-541431.13603291661</v>
      </c>
      <c r="F18" s="14" t="s">
        <v>3</v>
      </c>
      <c r="G18" s="1"/>
    </row>
    <row r="19" spans="1:7" x14ac:dyDescent="0.25">
      <c r="A19" s="1"/>
      <c r="B19" s="61"/>
      <c r="C19" s="62"/>
      <c r="D19" s="62"/>
      <c r="E19" s="62"/>
      <c r="F19" s="20"/>
      <c r="G19" s="1"/>
    </row>
    <row r="20" spans="1:7" ht="30" customHeight="1" x14ac:dyDescent="0.25">
      <c r="A20" s="1"/>
      <c r="B20" s="104" t="s">
        <v>245</v>
      </c>
      <c r="C20" s="105"/>
      <c r="D20" s="105"/>
      <c r="E20" s="105"/>
      <c r="F20" s="106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3" t="s">
        <v>207</v>
      </c>
      <c r="C22" s="64"/>
      <c r="D22" s="64"/>
      <c r="E22" s="64"/>
      <c r="F22" s="65"/>
      <c r="G22" s="1"/>
    </row>
    <row r="23" spans="1:7" x14ac:dyDescent="0.25">
      <c r="A23" s="1"/>
      <c r="B23" s="66" t="s">
        <v>208</v>
      </c>
      <c r="C23" s="67"/>
      <c r="D23" s="68"/>
      <c r="E23" s="9">
        <v>21747754.303927932</v>
      </c>
      <c r="F23" s="14" t="s">
        <v>3</v>
      </c>
      <c r="G23" s="1"/>
    </row>
    <row r="24" spans="1:7" x14ac:dyDescent="0.25">
      <c r="A24" s="1"/>
      <c r="B24" s="66" t="s">
        <v>209</v>
      </c>
      <c r="C24" s="67"/>
      <c r="D24" s="68"/>
      <c r="E24" s="9">
        <v>27228706</v>
      </c>
      <c r="F24" s="14" t="s">
        <v>3</v>
      </c>
      <c r="G24" s="1"/>
    </row>
    <row r="25" spans="1:7" x14ac:dyDescent="0.25">
      <c r="A25" s="1"/>
      <c r="B25" s="66" t="s">
        <v>34</v>
      </c>
      <c r="C25" s="67"/>
      <c r="D25" s="68"/>
      <c r="E25" s="9">
        <v>0</v>
      </c>
      <c r="F25" s="14" t="s">
        <v>3</v>
      </c>
      <c r="G25" s="1"/>
    </row>
    <row r="26" spans="1:7" x14ac:dyDescent="0.25">
      <c r="A26" s="1"/>
      <c r="B26" s="70" t="s">
        <v>252</v>
      </c>
      <c r="C26" s="71"/>
      <c r="D26" s="72"/>
      <c r="E26" s="45">
        <f>E23-(E24-E25)</f>
        <v>-5480951.6960720681</v>
      </c>
      <c r="F26" s="17" t="s">
        <v>3</v>
      </c>
      <c r="G26" s="1"/>
    </row>
    <row r="27" spans="1:7" x14ac:dyDescent="0.25">
      <c r="A27" s="1"/>
      <c r="B27" s="61"/>
      <c r="C27" s="62"/>
      <c r="D27" s="62"/>
      <c r="E27" s="6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246</v>
      </c>
      <c r="C29" s="116"/>
      <c r="D29" s="116"/>
      <c r="E29" s="116"/>
      <c r="F29" s="117"/>
      <c r="G29" s="1"/>
    </row>
    <row r="30" spans="1:7" x14ac:dyDescent="0.25">
      <c r="A30" s="1"/>
      <c r="B30" s="139" t="s">
        <v>247</v>
      </c>
      <c r="C30" s="140"/>
      <c r="D30" s="141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-541431.13603291661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248</v>
      </c>
      <c r="C33" s="116"/>
      <c r="D33" s="116"/>
      <c r="E33" s="116"/>
      <c r="F33" s="117"/>
      <c r="G33" s="1"/>
    </row>
    <row r="34" spans="1:7" x14ac:dyDescent="0.25">
      <c r="A34" s="1"/>
      <c r="B34" s="133" t="s">
        <v>253</v>
      </c>
      <c r="C34" s="134"/>
      <c r="D34" s="135"/>
      <c r="E34" s="9">
        <v>0</v>
      </c>
      <c r="F34" s="14"/>
      <c r="G34" s="1"/>
    </row>
    <row r="35" spans="1:7" x14ac:dyDescent="0.25">
      <c r="A35" s="1"/>
      <c r="B35" s="133" t="s">
        <v>161</v>
      </c>
      <c r="C35" s="134"/>
      <c r="D35" s="135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-5480951.6960720681</v>
      </c>
      <c r="F35" s="14" t="s">
        <v>3</v>
      </c>
      <c r="G35" s="1"/>
    </row>
    <row r="36" spans="1:7" x14ac:dyDescent="0.25">
      <c r="A36" s="1"/>
      <c r="B36" s="133" t="s">
        <v>110</v>
      </c>
      <c r="C36" s="134"/>
      <c r="D36" s="135"/>
      <c r="E36" s="9">
        <v>4</v>
      </c>
      <c r="F36" s="14" t="s">
        <v>19</v>
      </c>
      <c r="G36" s="1"/>
    </row>
    <row r="37" spans="1:7" x14ac:dyDescent="0.25">
      <c r="A37" s="1"/>
      <c r="B37" s="142" t="s">
        <v>160</v>
      </c>
      <c r="C37" s="142"/>
      <c r="D37" s="142"/>
      <c r="E37" s="10">
        <f>E35/E36</f>
        <v>-1370237.924018017</v>
      </c>
      <c r="F37" s="17" t="s">
        <v>3</v>
      </c>
      <c r="G37" s="1"/>
    </row>
    <row r="38" spans="1:7" x14ac:dyDescent="0.25">
      <c r="A38" s="1"/>
      <c r="B38" s="136"/>
      <c r="C38" s="137"/>
      <c r="D38" s="137"/>
      <c r="E38" s="137"/>
      <c r="F38" s="138"/>
      <c r="G38" s="1"/>
    </row>
    <row r="39" spans="1:7" ht="75" customHeight="1" x14ac:dyDescent="0.25">
      <c r="A39" s="1"/>
      <c r="B39" s="104" t="s">
        <v>251</v>
      </c>
      <c r="C39" s="105"/>
      <c r="D39" s="105"/>
      <c r="E39" s="105"/>
      <c r="F39" s="106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UQxaB3RDjQ0qlY7Fcvm4BvctFmhU2JDkyf9Gmtn1JjqOOHDPANqGUfAqUlHpC4BoHIAWJoi1APmGCnr7ypo99g==" saltValue="KkD6MvKHft8PzozJufW7LQ==" spinCount="100000" sheet="1" objects="1" scenarios="1"/>
  <mergeCells count="21">
    <mergeCell ref="B38:F38"/>
    <mergeCell ref="B39:F39"/>
    <mergeCell ref="B3:F4"/>
    <mergeCell ref="B17:D17"/>
    <mergeCell ref="B9:D9"/>
    <mergeCell ref="B8:F8"/>
    <mergeCell ref="B10:D10"/>
    <mergeCell ref="B11:D11"/>
    <mergeCell ref="B29:F29"/>
    <mergeCell ref="B30:D30"/>
    <mergeCell ref="B37:D37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169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5"/>
      <c r="I9" s="1"/>
    </row>
    <row r="10" spans="1:9" x14ac:dyDescent="0.25">
      <c r="A10" s="1"/>
      <c r="B10" s="47" t="s">
        <v>254</v>
      </c>
      <c r="C10" s="4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LMHXxuHwWd8TVd8Y77KKlMxdCWcqBMbm2418XehxMTvzMgEtdEyzqz6BM9nehbCEJdFLmHsxrLapN1bP3wKcmw==" saltValue="lmRg2WpLqAyjsx0TV8i96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168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61" t="s">
        <v>84</v>
      </c>
      <c r="C8" s="62"/>
      <c r="D8" s="62"/>
      <c r="E8" s="62"/>
      <c r="F8" s="20"/>
      <c r="G8" s="1"/>
    </row>
    <row r="9" spans="1:7" ht="17.25" customHeight="1" x14ac:dyDescent="0.25">
      <c r="A9" s="1"/>
      <c r="B9" s="59" t="s">
        <v>16</v>
      </c>
      <c r="C9" s="59" t="s">
        <v>11</v>
      </c>
      <c r="D9" s="60"/>
      <c r="E9" s="59" t="s">
        <v>32</v>
      </c>
      <c r="F9" s="55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576413</v>
      </c>
      <c r="D11" s="14" t="s">
        <v>3</v>
      </c>
      <c r="E11" s="9">
        <v>0</v>
      </c>
      <c r="F11" s="14" t="s">
        <v>3</v>
      </c>
      <c r="G11" s="1"/>
    </row>
    <row r="12" spans="1:7" ht="26.25" x14ac:dyDescent="0.25">
      <c r="A12" s="1"/>
      <c r="B12" s="50" t="s">
        <v>229</v>
      </c>
      <c r="C12" s="22">
        <v>149499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61" t="s">
        <v>136</v>
      </c>
      <c r="C13" s="12">
        <f>SUM(C10:C12)</f>
        <v>725912</v>
      </c>
      <c r="D13" s="13" t="s">
        <v>3</v>
      </c>
      <c r="E13" s="12">
        <f>SUM(E10:E12)</f>
        <v>0</v>
      </c>
      <c r="F13" s="13" t="s">
        <v>3</v>
      </c>
      <c r="G13" s="1"/>
    </row>
    <row r="14" spans="1:7" x14ac:dyDescent="0.25">
      <c r="A14" s="1"/>
      <c r="B14" s="61" t="s">
        <v>210</v>
      </c>
      <c r="C14" s="12">
        <f>C13*(1+'Fane 12. Nøgletal'!C14)</f>
        <v>728307.50960000011</v>
      </c>
      <c r="D14" s="13" t="s">
        <v>3</v>
      </c>
      <c r="E14" s="12">
        <f>E13*(1+'Fane 12. Nøgletal'!C14)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VehpZX8wMvhne0GpWbHgdT8xWNNlmSMRQUcMKMD2D3qWCso4llXhhK75rkqWABH3jsV82ALU94YmWVAp+zD0A==" saltValue="zXpZ8mwEhvEzJlSX0V+kf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167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9" t="s">
        <v>16</v>
      </c>
      <c r="C9" s="59" t="s">
        <v>11</v>
      </c>
      <c r="D9" s="60"/>
      <c r="E9" s="59" t="s">
        <v>32</v>
      </c>
      <c r="F9" s="55"/>
      <c r="G9" s="1"/>
    </row>
    <row r="10" spans="1:7" x14ac:dyDescent="0.25">
      <c r="A10" s="1"/>
      <c r="B10" s="25" t="s">
        <v>234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61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61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9" t="s">
        <v>16</v>
      </c>
      <c r="C17" s="59" t="s">
        <v>11</v>
      </c>
      <c r="D17" s="60"/>
      <c r="E17" s="59" t="s">
        <v>32</v>
      </c>
      <c r="F17" s="55"/>
      <c r="G17" s="1"/>
    </row>
    <row r="18" spans="1:7" x14ac:dyDescent="0.25">
      <c r="A18" s="1"/>
      <c r="B18" s="25" t="s">
        <v>234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61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61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9" t="s">
        <v>16</v>
      </c>
      <c r="C25" s="59" t="s">
        <v>11</v>
      </c>
      <c r="D25" s="60"/>
      <c r="E25" s="59" t="s">
        <v>32</v>
      </c>
      <c r="F25" s="55"/>
      <c r="G25" s="1"/>
    </row>
    <row r="26" spans="1:7" x14ac:dyDescent="0.25">
      <c r="A26" s="1"/>
      <c r="B26" s="25" t="s">
        <v>234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61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61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9" t="s">
        <v>16</v>
      </c>
      <c r="C33" s="59" t="s">
        <v>11</v>
      </c>
      <c r="D33" s="60"/>
      <c r="E33" s="59" t="s">
        <v>32</v>
      </c>
      <c r="F33" s="55"/>
      <c r="G33" s="1"/>
    </row>
    <row r="34" spans="1:7" x14ac:dyDescent="0.25">
      <c r="A34" s="1"/>
      <c r="B34" s="25" t="s">
        <v>234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61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61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6wPkgQxjypmbv3YJfEys2UJMvSOb2ikDKUhOKHnyE2XAnYILwd/dod9YJ661HqZXWI1PCNhm3PrV+7/v9WyGg==" saltValue="hOXpslaHO/Eoc2DfjbkaC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0" t="s">
        <v>166</v>
      </c>
      <c r="C3" s="100"/>
      <c r="D3" s="100"/>
      <c r="E3" s="100"/>
      <c r="F3" s="100"/>
      <c r="G3" s="1"/>
    </row>
    <row r="4" spans="1:7" ht="25.5" customHeight="1" x14ac:dyDescent="0.25">
      <c r="A4" s="1"/>
      <c r="B4" s="100"/>
      <c r="C4" s="100"/>
      <c r="D4" s="100"/>
      <c r="E4" s="100"/>
      <c r="F4" s="10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54" t="s">
        <v>131</v>
      </c>
      <c r="C9" s="110" t="s">
        <v>11</v>
      </c>
      <c r="D9" s="112"/>
      <c r="E9" s="110" t="s">
        <v>32</v>
      </c>
      <c r="F9" s="112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nrhDRIIge8ziZJM9KNP1PZhPKci678/YM91ska8GNIzV3/fJFl0bBtw+wMDBe378rpH9aqMFyMjgn+XaGPdCYQ==" saltValue="8WoWgcdapBcRkYnklgT50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0" t="s">
        <v>165</v>
      </c>
      <c r="C3" s="100"/>
      <c r="D3" s="100"/>
      <c r="E3" s="100"/>
      <c r="F3" s="100"/>
      <c r="G3" s="1"/>
    </row>
    <row r="4" spans="1:7" ht="25.5" customHeight="1" x14ac:dyDescent="0.25">
      <c r="A4" s="1"/>
      <c r="B4" s="100"/>
      <c r="C4" s="100"/>
      <c r="D4" s="100"/>
      <c r="E4" s="100"/>
      <c r="F4" s="10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32</v>
      </c>
      <c r="F9" s="55"/>
      <c r="G9" s="1"/>
    </row>
    <row r="10" spans="1:7" x14ac:dyDescent="0.25">
      <c r="A10" s="1"/>
      <c r="B10" s="25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61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61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54" t="s">
        <v>17</v>
      </c>
      <c r="C16" s="54" t="s">
        <v>11</v>
      </c>
      <c r="D16" s="55"/>
      <c r="E16" s="54" t="s">
        <v>32</v>
      </c>
      <c r="F16" s="55"/>
      <c r="G16" s="1"/>
    </row>
    <row r="17" spans="1:7" x14ac:dyDescent="0.25">
      <c r="A17" s="1"/>
      <c r="B17" s="25" t="s">
        <v>235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61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61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54" t="s">
        <v>17</v>
      </c>
      <c r="C23" s="54" t="s">
        <v>11</v>
      </c>
      <c r="D23" s="55"/>
      <c r="E23" s="54" t="s">
        <v>32</v>
      </c>
      <c r="F23" s="55"/>
      <c r="G23" s="1"/>
    </row>
    <row r="24" spans="1:7" x14ac:dyDescent="0.25">
      <c r="A24" s="1"/>
      <c r="B24" s="25" t="s">
        <v>235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61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61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54" t="s">
        <v>17</v>
      </c>
      <c r="C30" s="54" t="s">
        <v>11</v>
      </c>
      <c r="D30" s="55"/>
      <c r="E30" s="54" t="s">
        <v>32</v>
      </c>
      <c r="F30" s="55"/>
      <c r="G30" s="1"/>
    </row>
    <row r="31" spans="1:7" x14ac:dyDescent="0.25">
      <c r="A31" s="1"/>
      <c r="B31" s="25" t="s">
        <v>235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61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61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TPNkQYrFnsgEFRcKiSEq8j8z1W5g7OBS17tNrRq9G49YXm2P7GoCKIChjvOECC5/3kC9697W/rSOn2Xmn5mbsQ==" saltValue="rbbmvd+UiG/9FX2heyLa5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0" t="s">
        <v>164</v>
      </c>
      <c r="C3" s="100"/>
      <c r="D3" s="1"/>
    </row>
    <row r="4" spans="1:4" ht="25.5" customHeight="1" x14ac:dyDescent="0.25">
      <c r="A4" s="1"/>
      <c r="B4" s="100"/>
      <c r="C4" s="10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61" t="s">
        <v>14</v>
      </c>
      <c r="C8" s="20"/>
      <c r="D8" s="1"/>
    </row>
    <row r="9" spans="1:4" x14ac:dyDescent="0.25">
      <c r="A9" s="1"/>
      <c r="B9" s="69" t="s">
        <v>118</v>
      </c>
      <c r="C9" s="26">
        <v>1.2699999999999999E-2</v>
      </c>
      <c r="D9" s="1"/>
    </row>
    <row r="10" spans="1:4" x14ac:dyDescent="0.25">
      <c r="A10" s="1"/>
      <c r="B10" s="69" t="s">
        <v>22</v>
      </c>
      <c r="C10" s="26">
        <v>1.7500000000000002E-2</v>
      </c>
      <c r="D10" s="1"/>
    </row>
    <row r="11" spans="1:4" x14ac:dyDescent="0.25">
      <c r="A11" s="1"/>
      <c r="B11" s="69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49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61" t="s">
        <v>106</v>
      </c>
      <c r="C18" s="20"/>
      <c r="D18" s="1"/>
    </row>
    <row r="19" spans="1:4" x14ac:dyDescent="0.25">
      <c r="A19" s="1"/>
      <c r="B19" s="69" t="s">
        <v>120</v>
      </c>
      <c r="C19" s="23">
        <v>9.1000000000000004E-3</v>
      </c>
      <c r="D19" s="1"/>
    </row>
    <row r="20" spans="1:4" x14ac:dyDescent="0.25">
      <c r="A20" s="1"/>
      <c r="B20" s="69" t="s">
        <v>121</v>
      </c>
      <c r="C20" s="23">
        <v>1.77E-2</v>
      </c>
      <c r="D20" s="1"/>
    </row>
    <row r="21" spans="1:4" x14ac:dyDescent="0.25">
      <c r="A21" s="1"/>
      <c r="B21" s="69" t="s">
        <v>122</v>
      </c>
      <c r="C21" s="23">
        <v>8.6999999999999994E-3</v>
      </c>
      <c r="D21" s="1"/>
    </row>
    <row r="22" spans="1:4" x14ac:dyDescent="0.25">
      <c r="A22" s="1"/>
      <c r="B22" s="69" t="s">
        <v>123</v>
      </c>
      <c r="C22" s="35">
        <v>2.8400000000000002E-2</v>
      </c>
      <c r="D22" s="1"/>
    </row>
    <row r="23" spans="1:4" x14ac:dyDescent="0.25">
      <c r="A23" s="1"/>
      <c r="B23" s="69" t="s">
        <v>146</v>
      </c>
      <c r="C23" s="35">
        <v>2.75E-2</v>
      </c>
      <c r="D23" s="1"/>
    </row>
    <row r="24" spans="1:4" x14ac:dyDescent="0.25">
      <c r="A24" s="1"/>
      <c r="B24" s="69" t="s">
        <v>218</v>
      </c>
      <c r="C24" s="35">
        <v>1.4800000000000001E-2</v>
      </c>
      <c r="D24" s="1"/>
    </row>
    <row r="25" spans="1:4" x14ac:dyDescent="0.25">
      <c r="A25" s="1"/>
      <c r="B25" s="61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61" t="s">
        <v>107</v>
      </c>
      <c r="C28" s="20"/>
      <c r="D28" s="1"/>
    </row>
    <row r="29" spans="1:4" x14ac:dyDescent="0.25">
      <c r="A29" s="1"/>
      <c r="B29" s="69" t="s">
        <v>124</v>
      </c>
      <c r="C29" s="26">
        <v>0.02</v>
      </c>
      <c r="D29" s="1"/>
    </row>
    <row r="30" spans="1:4" x14ac:dyDescent="0.25">
      <c r="A30" s="1"/>
      <c r="B30" s="61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LcsL1mNd+m6bMNlhIWSzJFklGWgXMCHhBY6w1fWXK9EgBZ0WthDShCEWCsORo3YmuH/EyxhqOeScdQOsRJpxQQ==" saltValue="IQlB5tfl6VbVjVbVYhImR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2" t="s">
        <v>184</v>
      </c>
      <c r="C3" s="92"/>
      <c r="D3" s="92"/>
      <c r="E3" s="1"/>
    </row>
    <row r="4" spans="1:5" ht="15" customHeight="1" x14ac:dyDescent="0.25">
      <c r="A4" s="1"/>
      <c r="B4" s="92"/>
      <c r="C4" s="92"/>
      <c r="D4" s="9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61" t="s">
        <v>13</v>
      </c>
      <c r="C8" s="62"/>
      <c r="D8" s="20"/>
      <c r="E8" s="1"/>
    </row>
    <row r="9" spans="1:5" x14ac:dyDescent="0.25">
      <c r="A9" s="1"/>
      <c r="B9" s="57" t="s">
        <v>24</v>
      </c>
      <c r="C9" s="7">
        <f>'Fane 3. Omkostninger i ØR2021'!E20</f>
        <v>20039531.425121047</v>
      </c>
      <c r="D9" s="8" t="s">
        <v>3</v>
      </c>
      <c r="E9" s="1"/>
    </row>
    <row r="10" spans="1:5" x14ac:dyDescent="0.25">
      <c r="A10" s="1"/>
      <c r="B10" s="53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194603.39245971691</v>
      </c>
      <c r="D10" s="8" t="s">
        <v>3</v>
      </c>
      <c r="E10" s="1"/>
    </row>
    <row r="11" spans="1:5" x14ac:dyDescent="0.25">
      <c r="A11" s="1"/>
      <c r="B11" s="53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1272747.3042929694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728307.50960000011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246885.69816815678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-62088.499267317558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-286730.89962234348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-189981.27591629626</v>
      </c>
      <c r="D21" s="8" t="s">
        <v>3</v>
      </c>
      <c r="E21" s="1"/>
    </row>
    <row r="22" spans="1:5" ht="17.100000000000001" customHeight="1" x14ac:dyDescent="0.25">
      <c r="A22" s="1"/>
      <c r="B22" s="70" t="s">
        <v>20</v>
      </c>
      <c r="C22" s="10">
        <f>SUM(C9,C12:C21)</f>
        <v>20475923.958083246</v>
      </c>
      <c r="D22" s="11" t="s">
        <v>3</v>
      </c>
      <c r="E22" s="1"/>
    </row>
    <row r="23" spans="1:5" ht="15" customHeight="1" x14ac:dyDescent="0.25">
      <c r="A23" s="1"/>
      <c r="B23" s="61" t="s">
        <v>12</v>
      </c>
      <c r="C23" s="62"/>
      <c r="D23" s="20"/>
      <c r="E23" s="1"/>
    </row>
    <row r="24" spans="1:5" ht="15" customHeight="1" x14ac:dyDescent="0.25">
      <c r="A24" s="1"/>
      <c r="B24" s="54" t="s">
        <v>12</v>
      </c>
      <c r="C24" s="10">
        <f>'Fane 6. Ikke-påvirkelige omk.'!C15</f>
        <v>1557653.8498473603</v>
      </c>
      <c r="D24" s="11" t="s">
        <v>3</v>
      </c>
      <c r="E24" s="1"/>
    </row>
    <row r="25" spans="1:5" ht="15" customHeight="1" x14ac:dyDescent="0.25">
      <c r="A25" s="1"/>
      <c r="B25" s="61" t="s">
        <v>89</v>
      </c>
      <c r="C25" s="62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70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62"/>
      <c r="D29" s="20"/>
      <c r="E29" s="1"/>
    </row>
    <row r="30" spans="1:5" x14ac:dyDescent="0.25">
      <c r="A30" s="1"/>
      <c r="B30" s="73" t="s">
        <v>162</v>
      </c>
      <c r="C30" s="10">
        <f>'Fane 7. Kontrol af ØR2020'!E30</f>
        <v>-541431.13603291661</v>
      </c>
      <c r="D30" s="11" t="s">
        <v>3</v>
      </c>
      <c r="E30" s="1"/>
    </row>
    <row r="31" spans="1:5" x14ac:dyDescent="0.25">
      <c r="A31" s="1"/>
      <c r="B31" s="36" t="s">
        <v>225</v>
      </c>
      <c r="C31" s="62"/>
      <c r="D31" s="20"/>
      <c r="E31" s="1"/>
    </row>
    <row r="32" spans="1:5" x14ac:dyDescent="0.25">
      <c r="A32" s="1"/>
      <c r="B32" s="73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61" t="s">
        <v>30</v>
      </c>
      <c r="C33" s="31">
        <f>SUM(C22,C24,C28,C30,C32)</f>
        <v>21492146.671897691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ayFuaXQbq7OXOSG91GPZZQfDEg/ZGTzdkrt+N517LNE4YazROlqc0Lgk11bFkIEZa5pq9uvhNObSwav/Ljyyiw==" saltValue="dkFOUOkpblN7VfaHzRh9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2" t="s">
        <v>185</v>
      </c>
      <c r="C3" s="92"/>
      <c r="D3" s="92"/>
      <c r="E3" s="1"/>
    </row>
    <row r="4" spans="1:5" ht="15" customHeight="1" x14ac:dyDescent="0.25">
      <c r="A4" s="1"/>
      <c r="B4" s="92"/>
      <c r="C4" s="92"/>
      <c r="D4" s="92"/>
      <c r="E4" s="1"/>
    </row>
    <row r="5" spans="1:5" x14ac:dyDescent="0.25">
      <c r="A5" s="1"/>
      <c r="B5" s="93" t="s">
        <v>21</v>
      </c>
      <c r="C5" s="93"/>
      <c r="D5" s="9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61" t="s">
        <v>13</v>
      </c>
      <c r="C8" s="62"/>
      <c r="D8" s="20"/>
      <c r="E8" s="1"/>
    </row>
    <row r="9" spans="1:5" ht="15" customHeight="1" x14ac:dyDescent="0.25">
      <c r="A9" s="1"/>
      <c r="B9" s="57" t="s">
        <v>134</v>
      </c>
      <c r="C9" s="7">
        <f>'Fane 2.1. Økonomisk ramme 2022'!C22</f>
        <v>20475923.958083246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3" t="s">
        <v>18</v>
      </c>
      <c r="C12" s="9">
        <f>SUM(C9:C11)*'Fane 12. Nøgletal'!C14</f>
        <v>67570.549061674712</v>
      </c>
      <c r="D12" s="8" t="s">
        <v>3</v>
      </c>
      <c r="E12" s="1"/>
    </row>
    <row r="13" spans="1:5" ht="15" customHeight="1" x14ac:dyDescent="0.25">
      <c r="A13" s="1"/>
      <c r="B13" s="53" t="s">
        <v>9</v>
      </c>
      <c r="C13" s="9">
        <f>-SUM(C9:C12)*'Fane 5. Individuelt eff. krav'!G10</f>
        <v>-60696.238753410013</v>
      </c>
      <c r="D13" s="8" t="s">
        <v>3</v>
      </c>
      <c r="E13" s="1"/>
    </row>
    <row r="14" spans="1:5" ht="15" customHeight="1" x14ac:dyDescent="0.25">
      <c r="A14" s="1"/>
      <c r="B14" s="53" t="s">
        <v>25</v>
      </c>
      <c r="C14" s="9">
        <f>-'Fane 4.1. Gen. krav - drift'!G44</f>
        <v>-281923.56935927528</v>
      </c>
      <c r="D14" s="8" t="s">
        <v>3</v>
      </c>
      <c r="E14" s="1"/>
    </row>
    <row r="15" spans="1:5" ht="15" customHeight="1" x14ac:dyDescent="0.25">
      <c r="A15" s="1"/>
      <c r="B15" s="53" t="s">
        <v>26</v>
      </c>
      <c r="C15" s="9">
        <f>-'Fane 4.2. Gen. krav - anlæg'!G44</f>
        <v>-99760.873670084417</v>
      </c>
      <c r="D15" s="8" t="s">
        <v>3</v>
      </c>
      <c r="E15" s="1"/>
    </row>
    <row r="16" spans="1:5" ht="15" customHeight="1" x14ac:dyDescent="0.25">
      <c r="A16" s="1"/>
      <c r="B16" s="58" t="s">
        <v>20</v>
      </c>
      <c r="C16" s="10">
        <f>SUM(C9:C15)</f>
        <v>20101113.82536215</v>
      </c>
      <c r="D16" s="11" t="s">
        <v>3</v>
      </c>
      <c r="E16" s="1"/>
    </row>
    <row r="17" spans="1:5" x14ac:dyDescent="0.25">
      <c r="A17" s="1"/>
      <c r="B17" s="61" t="s">
        <v>12</v>
      </c>
      <c r="C17" s="62"/>
      <c r="D17" s="20"/>
      <c r="E17" s="1"/>
    </row>
    <row r="18" spans="1:5" ht="15" customHeight="1" x14ac:dyDescent="0.25">
      <c r="A18" s="1"/>
      <c r="B18" s="54" t="s">
        <v>12</v>
      </c>
      <c r="C18" s="10">
        <f>'Fane 6. Ikke-påvirkelige omk.'!C15*(1+'Fane 12. Nøgletal'!C14)</f>
        <v>1562794.1075518567</v>
      </c>
      <c r="D18" s="11" t="s">
        <v>3</v>
      </c>
      <c r="E18" s="1"/>
    </row>
    <row r="19" spans="1:5" ht="15" customHeight="1" x14ac:dyDescent="0.25">
      <c r="A19" s="1"/>
      <c r="B19" s="61" t="s">
        <v>89</v>
      </c>
      <c r="C19" s="62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70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62"/>
      <c r="D23" s="20"/>
      <c r="E23" s="1"/>
    </row>
    <row r="24" spans="1:5" ht="15" customHeight="1" x14ac:dyDescent="0.25">
      <c r="A24" s="1"/>
      <c r="B24" s="73" t="s">
        <v>162</v>
      </c>
      <c r="C24" s="10">
        <f>'Fane 7. Kontrol af ØR2020'!E37</f>
        <v>-1370237.924018017</v>
      </c>
      <c r="D24" s="11" t="s">
        <v>3</v>
      </c>
      <c r="E24" s="1"/>
    </row>
    <row r="25" spans="1:5" x14ac:dyDescent="0.25">
      <c r="A25" s="1"/>
      <c r="B25" s="36" t="s">
        <v>225</v>
      </c>
      <c r="C25" s="62"/>
      <c r="D25" s="20"/>
      <c r="E25" s="1"/>
    </row>
    <row r="26" spans="1:5" x14ac:dyDescent="0.25">
      <c r="A26" s="1"/>
      <c r="B26" s="73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61" t="s">
        <v>97</v>
      </c>
      <c r="C27" s="12">
        <f>SUM(C16,C18,C22,C24,C26)</f>
        <v>20293670.00889599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hGAH4MMiEAujuKiUKLtS9buu/SOjy/R8tNxlp5T1LbsAsMQiklLdk0eMvEgIfE6XPJeLSKGktZ4b+U89vOeN5Q==" saltValue="vREs3sdv61ooidyajAlOH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2" t="s">
        <v>186</v>
      </c>
      <c r="C3" s="92"/>
      <c r="D3" s="92"/>
      <c r="E3" s="1"/>
    </row>
    <row r="4" spans="1:5" ht="15" customHeight="1" x14ac:dyDescent="0.25">
      <c r="A4" s="1"/>
      <c r="B4" s="92"/>
      <c r="C4" s="92"/>
      <c r="D4" s="92"/>
      <c r="E4" s="1"/>
    </row>
    <row r="5" spans="1:5" x14ac:dyDescent="0.25">
      <c r="A5" s="1"/>
      <c r="B5" s="93" t="s">
        <v>21</v>
      </c>
      <c r="C5" s="93"/>
      <c r="D5" s="9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61" t="s">
        <v>13</v>
      </c>
      <c r="C7" s="62"/>
      <c r="D7" s="20"/>
      <c r="E7" s="1"/>
    </row>
    <row r="8" spans="1:5" ht="15" customHeight="1" x14ac:dyDescent="0.25">
      <c r="A8" s="1"/>
      <c r="B8" s="57" t="s">
        <v>135</v>
      </c>
      <c r="C8" s="7">
        <f>'Fane 2.2. Økonomisk ramme 2023'!C16</f>
        <v>20101113.82536215</v>
      </c>
      <c r="D8" s="8" t="s">
        <v>3</v>
      </c>
      <c r="E8" s="1"/>
    </row>
    <row r="9" spans="1:5" ht="15" customHeight="1" x14ac:dyDescent="0.25">
      <c r="A9" s="1"/>
      <c r="B9" s="57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7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3" t="s">
        <v>18</v>
      </c>
      <c r="C11" s="9">
        <f>SUM(C8:C10)*'Fane 12. Nøgletal'!C14</f>
        <v>66333.67562369509</v>
      </c>
      <c r="D11" s="8" t="s">
        <v>3</v>
      </c>
      <c r="E11" s="1"/>
    </row>
    <row r="12" spans="1:5" ht="15" customHeight="1" x14ac:dyDescent="0.25">
      <c r="A12" s="1"/>
      <c r="B12" s="53" t="s">
        <v>9</v>
      </c>
      <c r="C12" s="9">
        <f>-SUM(C8:C11)*'Fane 5. Individuelt eff. krav'!G10</f>
        <v>-59585.199009884491</v>
      </c>
      <c r="D12" s="8" t="s">
        <v>3</v>
      </c>
      <c r="E12" s="1"/>
    </row>
    <row r="13" spans="1:5" ht="15" customHeight="1" x14ac:dyDescent="0.25">
      <c r="A13" s="1"/>
      <c r="B13" s="53" t="s">
        <v>25</v>
      </c>
      <c r="C13" s="9">
        <f>-'Fane 4.1. Gen. krav - drift'!G50</f>
        <v>-277196.83879539772</v>
      </c>
      <c r="D13" s="8" t="s">
        <v>3</v>
      </c>
      <c r="E13" s="1"/>
    </row>
    <row r="14" spans="1:5" ht="15" customHeight="1" x14ac:dyDescent="0.25">
      <c r="A14" s="1"/>
      <c r="B14" s="53" t="s">
        <v>26</v>
      </c>
      <c r="C14" s="43">
        <f>-'Fane 4.2. Gen. krav - anlæg'!G50</f>
        <v>-98608.751301808399</v>
      </c>
      <c r="D14" s="8" t="s">
        <v>3</v>
      </c>
      <c r="E14" s="1"/>
    </row>
    <row r="15" spans="1:5" x14ac:dyDescent="0.25">
      <c r="A15" s="1"/>
      <c r="B15" s="58" t="s">
        <v>20</v>
      </c>
      <c r="C15" s="10">
        <f>SUM(C8:C14)</f>
        <v>19732056.711878754</v>
      </c>
      <c r="D15" s="11" t="s">
        <v>3</v>
      </c>
      <c r="E15" s="1"/>
    </row>
    <row r="16" spans="1:5" x14ac:dyDescent="0.25">
      <c r="A16" s="1"/>
      <c r="B16" s="61" t="s">
        <v>12</v>
      </c>
      <c r="C16" s="62"/>
      <c r="D16" s="20"/>
      <c r="E16" s="1"/>
    </row>
    <row r="17" spans="1:5" ht="15" customHeight="1" x14ac:dyDescent="0.25">
      <c r="A17" s="1"/>
      <c r="B17" s="54" t="s">
        <v>12</v>
      </c>
      <c r="C17" s="10">
        <f>'Fane 6. Ikke-påvirkelige omk.'!C15*(1+'Fane 12. Nøgletal'!C14)^2</f>
        <v>1567951.328106778</v>
      </c>
      <c r="D17" s="11" t="s">
        <v>3</v>
      </c>
      <c r="E17" s="1"/>
    </row>
    <row r="18" spans="1:5" ht="15" customHeight="1" x14ac:dyDescent="0.25">
      <c r="A18" s="1"/>
      <c r="B18" s="61" t="s">
        <v>89</v>
      </c>
      <c r="C18" s="6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70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61" t="s">
        <v>161</v>
      </c>
      <c r="C22" s="62"/>
      <c r="D22" s="20"/>
      <c r="E22" s="1"/>
    </row>
    <row r="23" spans="1:5" x14ac:dyDescent="0.25">
      <c r="A23" s="1"/>
      <c r="B23" s="54" t="s">
        <v>162</v>
      </c>
      <c r="C23" s="10">
        <f>'Fane 7. Kontrol af ØR2020'!E37</f>
        <v>-1370237.924018017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62"/>
      <c r="D24" s="20"/>
      <c r="E24" s="1"/>
    </row>
    <row r="25" spans="1:5" ht="15" customHeight="1" x14ac:dyDescent="0.25">
      <c r="A25" s="1"/>
      <c r="B25" s="73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61" t="s">
        <v>187</v>
      </c>
      <c r="C26" s="12">
        <f>SUM(C15,C17,C21,C23,C25)</f>
        <v>19929770.115967516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3pAcsQzrdZ5Z9EoOZ47Yx+iNUHD9wyNTFBIjB1xckE5oWrpcgAtIxA4w5x9BnnsdD3LBFUZiKgVe3J6Ru77Nag==" saltValue="M3IJQF0R+5Kr21Yn3C3iF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2" t="s">
        <v>188</v>
      </c>
      <c r="C3" s="92"/>
      <c r="D3" s="92"/>
      <c r="E3" s="1"/>
    </row>
    <row r="4" spans="1:5" ht="15" customHeight="1" x14ac:dyDescent="0.25">
      <c r="A4" s="1"/>
      <c r="B4" s="92"/>
      <c r="C4" s="92"/>
      <c r="D4" s="92"/>
      <c r="E4" s="1"/>
    </row>
    <row r="5" spans="1:5" x14ac:dyDescent="0.25">
      <c r="A5" s="1"/>
      <c r="B5" s="93" t="s">
        <v>21</v>
      </c>
      <c r="C5" s="93"/>
      <c r="D5" s="9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61" t="s">
        <v>13</v>
      </c>
      <c r="C7" s="62"/>
      <c r="D7" s="20"/>
      <c r="E7" s="1"/>
    </row>
    <row r="8" spans="1:5" ht="15" customHeight="1" x14ac:dyDescent="0.25">
      <c r="A8" s="1"/>
      <c r="B8" s="57" t="s">
        <v>189</v>
      </c>
      <c r="C8" s="7">
        <f>'Fane 2.3. Økonomisk ramme 2024'!C15</f>
        <v>19732056.711878754</v>
      </c>
      <c r="D8" s="8" t="s">
        <v>3</v>
      </c>
      <c r="E8" s="1"/>
    </row>
    <row r="9" spans="1:5" ht="15" customHeight="1" x14ac:dyDescent="0.25">
      <c r="A9" s="1"/>
      <c r="B9" s="57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7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3" t="s">
        <v>18</v>
      </c>
      <c r="C11" s="9">
        <f>SUM(C8:C10)*'Fane 12. Nøgletal'!C14</f>
        <v>65115.787149199889</v>
      </c>
      <c r="D11" s="8" t="s">
        <v>3</v>
      </c>
      <c r="E11" s="1"/>
    </row>
    <row r="12" spans="1:5" ht="15" customHeight="1" x14ac:dyDescent="0.25">
      <c r="A12" s="1"/>
      <c r="B12" s="53" t="s">
        <v>9</v>
      </c>
      <c r="C12" s="9">
        <f>-SUM(C8:C11)*'Fane 5. Individuelt eff. krav'!G10</f>
        <v>-58491.21278882365</v>
      </c>
      <c r="D12" s="8" t="s">
        <v>3</v>
      </c>
      <c r="E12" s="1"/>
    </row>
    <row r="13" spans="1:5" ht="15" customHeight="1" x14ac:dyDescent="0.25">
      <c r="A13" s="1"/>
      <c r="B13" s="53" t="s">
        <v>25</v>
      </c>
      <c r="C13" s="9">
        <f>-'Fane 4.1. Gen. krav - drift'!G56</f>
        <v>-272549.3565961541</v>
      </c>
      <c r="D13" s="8" t="s">
        <v>3</v>
      </c>
      <c r="E13" s="1"/>
    </row>
    <row r="14" spans="1:5" ht="15" customHeight="1" x14ac:dyDescent="0.25">
      <c r="A14" s="1"/>
      <c r="B14" s="53" t="s">
        <v>26</v>
      </c>
      <c r="C14" s="9">
        <f>-'Fane 4.2. Gen. krav - anlæg'!G56</f>
        <v>-97469.934610424039</v>
      </c>
      <c r="D14" s="8" t="s">
        <v>3</v>
      </c>
      <c r="E14" s="1"/>
    </row>
    <row r="15" spans="1:5" x14ac:dyDescent="0.25">
      <c r="A15" s="1"/>
      <c r="B15" s="58" t="s">
        <v>20</v>
      </c>
      <c r="C15" s="10">
        <f>SUM(C8:C14)</f>
        <v>19368661.995032553</v>
      </c>
      <c r="D15" s="11" t="s">
        <v>3</v>
      </c>
      <c r="E15" s="1"/>
    </row>
    <row r="16" spans="1:5" x14ac:dyDescent="0.25">
      <c r="A16" s="1"/>
      <c r="B16" s="61" t="s">
        <v>12</v>
      </c>
      <c r="C16" s="62"/>
      <c r="D16" s="20"/>
      <c r="E16" s="1"/>
    </row>
    <row r="17" spans="1:5" ht="15" customHeight="1" x14ac:dyDescent="0.25">
      <c r="A17" s="1"/>
      <c r="B17" s="54" t="s">
        <v>12</v>
      </c>
      <c r="C17" s="10">
        <f>'Fane 6. Ikke-påvirkelige omk.'!C15*(1+'Fane 12. Nøgletal'!C14)^3</f>
        <v>1573125.5674895304</v>
      </c>
      <c r="D17" s="11" t="s">
        <v>3</v>
      </c>
      <c r="E17" s="1"/>
    </row>
    <row r="18" spans="1:5" ht="15" customHeight="1" x14ac:dyDescent="0.25">
      <c r="A18" s="1"/>
      <c r="B18" s="61" t="s">
        <v>89</v>
      </c>
      <c r="C18" s="6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70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61" t="s">
        <v>161</v>
      </c>
      <c r="C22" s="62"/>
      <c r="D22" s="20"/>
      <c r="E22" s="1"/>
    </row>
    <row r="23" spans="1:5" x14ac:dyDescent="0.25">
      <c r="A23" s="1"/>
      <c r="B23" s="54" t="s">
        <v>162</v>
      </c>
      <c r="C23" s="10">
        <f>'Fane 7. Kontrol af ØR2020'!E37</f>
        <v>-1370237.924018017</v>
      </c>
      <c r="D23" s="11" t="s">
        <v>3</v>
      </c>
      <c r="E23" s="1"/>
    </row>
    <row r="24" spans="1:5" x14ac:dyDescent="0.25">
      <c r="A24" s="1"/>
      <c r="B24" s="36" t="s">
        <v>225</v>
      </c>
      <c r="C24" s="62"/>
      <c r="D24" s="20"/>
      <c r="E24" s="1"/>
    </row>
    <row r="25" spans="1:5" x14ac:dyDescent="0.25">
      <c r="A25" s="1"/>
      <c r="B25" s="73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61" t="s">
        <v>190</v>
      </c>
      <c r="C26" s="12">
        <f>SUM(C15,C17,C21,C23,C25)</f>
        <v>19571549.638504066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KB4sPGSdHz9NXBDbRTlBtkIDGd82ZPWYf6NOh+DJvI0wFelCeGHzLStNg5ud+a4GtDDq2RMC2SqIGI9o6snfIQ==" saltValue="OjO78N/uNnov8g3z75gd+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0" t="s">
        <v>191</v>
      </c>
      <c r="C3" s="100"/>
      <c r="D3" s="100"/>
      <c r="E3" s="100"/>
      <c r="F3" s="100"/>
      <c r="G3" s="1"/>
    </row>
    <row r="4" spans="1:7" ht="29.25" customHeight="1" x14ac:dyDescent="0.25">
      <c r="A4" s="1"/>
      <c r="B4" s="100"/>
      <c r="C4" s="100"/>
      <c r="D4" s="100"/>
      <c r="E4" s="100"/>
      <c r="F4" s="10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61" t="s">
        <v>224</v>
      </c>
      <c r="C8" s="62"/>
      <c r="D8" s="62"/>
      <c r="E8" s="62"/>
      <c r="F8" s="20"/>
      <c r="G8" s="1"/>
    </row>
    <row r="9" spans="1:7" x14ac:dyDescent="0.25">
      <c r="A9" s="1"/>
      <c r="B9" s="101" t="s">
        <v>23</v>
      </c>
      <c r="C9" s="102"/>
      <c r="D9" s="103"/>
      <c r="E9" s="7">
        <v>18826042.368821993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196774.71659999999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1296903.5183999999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247900.59136662833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-60767.52162192687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-274323.33806611376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-192998.91037953552</v>
      </c>
      <c r="F19" s="8" t="s">
        <v>3</v>
      </c>
      <c r="G19" s="1"/>
    </row>
    <row r="20" spans="1:7" x14ac:dyDescent="0.25">
      <c r="A20" s="1"/>
      <c r="B20" s="107" t="s">
        <v>20</v>
      </c>
      <c r="C20" s="108"/>
      <c r="D20" s="109"/>
      <c r="E20" s="10">
        <f>SUM(E9:E19)</f>
        <v>20039531.425121047</v>
      </c>
      <c r="F20" s="11" t="s">
        <v>3</v>
      </c>
      <c r="G20" s="1"/>
    </row>
    <row r="21" spans="1:7" x14ac:dyDescent="0.25">
      <c r="A21" s="1"/>
      <c r="B21" s="61" t="s">
        <v>12</v>
      </c>
      <c r="C21" s="62"/>
      <c r="D21" s="62"/>
      <c r="E21" s="62"/>
      <c r="F21" s="20"/>
      <c r="G21" s="1"/>
    </row>
    <row r="22" spans="1:7" x14ac:dyDescent="0.25">
      <c r="A22" s="1"/>
      <c r="B22" s="97" t="s">
        <v>12</v>
      </c>
      <c r="C22" s="98"/>
      <c r="D22" s="99"/>
      <c r="E22" s="10">
        <v>1392535.0223139601</v>
      </c>
      <c r="F22" s="11" t="s">
        <v>3</v>
      </c>
      <c r="G22" s="1"/>
    </row>
    <row r="23" spans="1:7" ht="15" customHeight="1" x14ac:dyDescent="0.25">
      <c r="A23" s="1"/>
      <c r="B23" s="113" t="s">
        <v>89</v>
      </c>
      <c r="C23" s="114"/>
      <c r="D23" s="114"/>
      <c r="E23" s="62"/>
      <c r="F23" s="62"/>
      <c r="G23" s="1"/>
    </row>
    <row r="24" spans="1:7" ht="14.25" customHeight="1" x14ac:dyDescent="0.25">
      <c r="A24" s="1"/>
      <c r="B24" s="104" t="s">
        <v>85</v>
      </c>
      <c r="C24" s="105"/>
      <c r="D24" s="106"/>
      <c r="E24" s="9">
        <v>0</v>
      </c>
      <c r="F24" s="8" t="s">
        <v>3</v>
      </c>
      <c r="G24" s="1"/>
    </row>
    <row r="25" spans="1:7" ht="14.25" customHeight="1" x14ac:dyDescent="0.25">
      <c r="A25" s="1"/>
      <c r="B25" s="104" t="s">
        <v>86</v>
      </c>
      <c r="C25" s="105"/>
      <c r="D25" s="106"/>
      <c r="E25" s="9">
        <v>0</v>
      </c>
      <c r="F25" s="8" t="s">
        <v>3</v>
      </c>
      <c r="G25" s="1"/>
    </row>
    <row r="26" spans="1:7" x14ac:dyDescent="0.25">
      <c r="A26" s="1"/>
      <c r="B26" s="110" t="s">
        <v>90</v>
      </c>
      <c r="C26" s="111"/>
      <c r="D26" s="111"/>
      <c r="E26" s="10">
        <v>0</v>
      </c>
      <c r="F26" s="11" t="s">
        <v>3</v>
      </c>
      <c r="G26" s="1"/>
    </row>
    <row r="27" spans="1:7" x14ac:dyDescent="0.25">
      <c r="A27" s="1"/>
      <c r="B27" s="61" t="s">
        <v>161</v>
      </c>
      <c r="C27" s="62"/>
      <c r="D27" s="62"/>
      <c r="E27" s="62"/>
      <c r="F27" s="20"/>
      <c r="G27" s="1"/>
    </row>
    <row r="28" spans="1:7" ht="15" customHeight="1" x14ac:dyDescent="0.25">
      <c r="A28" s="1"/>
      <c r="B28" s="110" t="s">
        <v>162</v>
      </c>
      <c r="C28" s="111"/>
      <c r="D28" s="112"/>
      <c r="E28" s="10">
        <v>-541431.13603291661</v>
      </c>
      <c r="F28" s="11" t="s">
        <v>3</v>
      </c>
      <c r="G28" s="1"/>
    </row>
    <row r="29" spans="1:7" x14ac:dyDescent="0.25">
      <c r="A29" s="1"/>
      <c r="B29" s="61" t="s">
        <v>249</v>
      </c>
      <c r="C29" s="62"/>
      <c r="D29" s="62"/>
      <c r="E29" s="62"/>
      <c r="F29" s="20"/>
      <c r="G29" s="1"/>
    </row>
    <row r="30" spans="1:7" ht="15.6" customHeight="1" x14ac:dyDescent="0.25">
      <c r="A30" s="1"/>
      <c r="B30" s="97" t="s">
        <v>250</v>
      </c>
      <c r="C30" s="98"/>
      <c r="D30" s="99"/>
      <c r="E30" s="10">
        <v>0</v>
      </c>
      <c r="F30" s="11" t="s">
        <v>3</v>
      </c>
      <c r="G30" s="1"/>
    </row>
    <row r="31" spans="1:7" x14ac:dyDescent="0.25">
      <c r="A31" s="1"/>
      <c r="B31" s="61" t="s">
        <v>29</v>
      </c>
      <c r="C31" s="62"/>
      <c r="D31" s="62"/>
      <c r="E31" s="12">
        <f>E20+E22+E26+E28+E30</f>
        <v>20890635.31140209</v>
      </c>
      <c r="F31" s="13" t="s">
        <v>3</v>
      </c>
      <c r="G31" s="1"/>
    </row>
    <row r="32" spans="1:7" ht="27.75" customHeight="1" x14ac:dyDescent="0.25">
      <c r="A32" s="1"/>
      <c r="B32" s="104" t="s">
        <v>192</v>
      </c>
      <c r="C32" s="105"/>
      <c r="D32" s="105"/>
      <c r="E32" s="105"/>
      <c r="F32" s="10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a7BvUldZGH0yTqLmrPpr39qCsRTMaLbx3MBLDrZBQMyNNypQh7+a3kLxApVErcL+SOSbojboVX4q56QzUe9yQ==" saltValue="qDwA7t+dGkjko03HJrw3y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0" t="s">
        <v>115</v>
      </c>
      <c r="C1" s="100"/>
      <c r="D1" s="100"/>
      <c r="E1" s="100"/>
      <c r="F1" s="100"/>
      <c r="G1" s="100"/>
      <c r="H1" s="100"/>
      <c r="I1" s="1"/>
    </row>
    <row r="2" spans="1:9" ht="15" customHeight="1" x14ac:dyDescent="0.25">
      <c r="A2" s="1"/>
      <c r="B2" s="100"/>
      <c r="C2" s="100"/>
      <c r="D2" s="100"/>
      <c r="E2" s="100"/>
      <c r="F2" s="100"/>
      <c r="G2" s="100"/>
      <c r="H2" s="100"/>
      <c r="I2" s="1"/>
    </row>
    <row r="3" spans="1:9" ht="15" customHeight="1" x14ac:dyDescent="0.25">
      <c r="A3" s="1"/>
      <c r="B3" s="100"/>
      <c r="C3" s="100"/>
      <c r="D3" s="100"/>
      <c r="E3" s="100"/>
      <c r="F3" s="100"/>
      <c r="G3" s="100"/>
      <c r="H3" s="100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8" t="s">
        <v>43</v>
      </c>
      <c r="C5" s="119"/>
      <c r="D5" s="119"/>
      <c r="E5" s="119"/>
      <c r="F5" s="120"/>
      <c r="G5" s="24">
        <v>13825222</v>
      </c>
      <c r="H5" s="14" t="s">
        <v>3</v>
      </c>
      <c r="I5" s="1"/>
    </row>
    <row r="6" spans="1:9" x14ac:dyDescent="0.25">
      <c r="A6" s="1"/>
      <c r="B6" s="118" t="s">
        <v>44</v>
      </c>
      <c r="C6" s="119"/>
      <c r="D6" s="119"/>
      <c r="E6" s="119"/>
      <c r="F6" s="120"/>
      <c r="G6" s="24">
        <f>G5*'Fane 12. Nøgletal'!C29</f>
        <v>276504.44</v>
      </c>
      <c r="H6" s="14" t="s">
        <v>3</v>
      </c>
      <c r="I6" s="1"/>
    </row>
    <row r="7" spans="1:9" x14ac:dyDescent="0.25">
      <c r="A7" s="1"/>
      <c r="B7" s="61"/>
      <c r="C7" s="62"/>
      <c r="D7" s="62"/>
      <c r="E7" s="62"/>
      <c r="F7" s="62"/>
      <c r="G7" s="6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8" t="s">
        <v>45</v>
      </c>
      <c r="C10" s="119"/>
      <c r="D10" s="119"/>
      <c r="E10" s="119"/>
      <c r="F10" s="120"/>
      <c r="G10" s="24">
        <f>(G5-G6)*(1+'Fane 12. Nøgletal'!C9)</f>
        <v>13720786.273011999</v>
      </c>
      <c r="H10" s="14" t="s">
        <v>3</v>
      </c>
      <c r="I10" s="1"/>
    </row>
    <row r="11" spans="1:9" x14ac:dyDescent="0.25">
      <c r="A11" s="1"/>
      <c r="B11" s="121" t="s">
        <v>46</v>
      </c>
      <c r="C11" s="122"/>
      <c r="D11" s="122"/>
      <c r="E11" s="122"/>
      <c r="F11" s="123"/>
      <c r="G11" s="52">
        <v>0</v>
      </c>
      <c r="H11" s="14" t="s">
        <v>3</v>
      </c>
      <c r="I11" s="1"/>
    </row>
    <row r="12" spans="1:9" x14ac:dyDescent="0.25">
      <c r="A12" s="1"/>
      <c r="B12" s="118" t="s">
        <v>47</v>
      </c>
      <c r="C12" s="119"/>
      <c r="D12" s="119"/>
      <c r="E12" s="119"/>
      <c r="F12" s="120"/>
      <c r="G12" s="24">
        <f>(G10+G11)*'Fane 12. Nøgletal'!C29</f>
        <v>274415.72546023998</v>
      </c>
      <c r="H12" s="14" t="s">
        <v>3</v>
      </c>
      <c r="I12" s="1"/>
    </row>
    <row r="13" spans="1:9" x14ac:dyDescent="0.25">
      <c r="A13" s="1"/>
      <c r="B13" s="61"/>
      <c r="C13" s="62"/>
      <c r="D13" s="62"/>
      <c r="E13" s="62"/>
      <c r="F13" s="62"/>
      <c r="G13" s="6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8" t="s">
        <v>48</v>
      </c>
      <c r="C16" s="119"/>
      <c r="D16" s="119"/>
      <c r="E16" s="119"/>
      <c r="F16" s="120"/>
      <c r="G16" s="24">
        <f>(G10+G11-G12)*(1+'Fane 12. Nøgletal'!C11)</f>
        <v>13673614.209805382</v>
      </c>
      <c r="H16" s="14" t="s">
        <v>3</v>
      </c>
      <c r="I16" s="1"/>
    </row>
    <row r="17" spans="1:9" x14ac:dyDescent="0.25">
      <c r="A17" s="1"/>
      <c r="B17" s="118" t="s">
        <v>125</v>
      </c>
      <c r="C17" s="119"/>
      <c r="D17" s="119"/>
      <c r="E17" s="119"/>
      <c r="F17" s="120"/>
      <c r="G17" s="51">
        <v>-0.38825260448766313</v>
      </c>
      <c r="H17" s="14" t="s">
        <v>3</v>
      </c>
      <c r="I17" s="1"/>
    </row>
    <row r="18" spans="1:9" x14ac:dyDescent="0.25">
      <c r="A18" s="1"/>
      <c r="B18" s="121" t="s">
        <v>49</v>
      </c>
      <c r="C18" s="122"/>
      <c r="D18" s="122"/>
      <c r="E18" s="122"/>
      <c r="F18" s="123"/>
      <c r="G18" s="52">
        <v>0</v>
      </c>
      <c r="H18" s="14" t="s">
        <v>3</v>
      </c>
      <c r="I18" s="1"/>
    </row>
    <row r="19" spans="1:9" x14ac:dyDescent="0.25">
      <c r="A19" s="1"/>
      <c r="B19" s="118" t="s">
        <v>50</v>
      </c>
      <c r="C19" s="119"/>
      <c r="D19" s="119"/>
      <c r="E19" s="119"/>
      <c r="F19" s="120"/>
      <c r="G19" s="24">
        <f>SUM(G16:G18)*'Fane 12. Nøgletal'!C29</f>
        <v>273472.27643105556</v>
      </c>
      <c r="H19" s="14" t="s">
        <v>3</v>
      </c>
      <c r="I19" s="1"/>
    </row>
    <row r="20" spans="1:9" x14ac:dyDescent="0.25">
      <c r="A20" s="1"/>
      <c r="B20" s="61"/>
      <c r="C20" s="62"/>
      <c r="D20" s="62"/>
      <c r="E20" s="62"/>
      <c r="F20" s="62"/>
      <c r="G20" s="6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8" t="s">
        <v>51</v>
      </c>
      <c r="C23" s="119"/>
      <c r="D23" s="119"/>
      <c r="E23" s="119"/>
      <c r="F23" s="120"/>
      <c r="G23" s="24">
        <f>(SUM(G16:G18)-G19)*(1+'Fane 12. Nøgletal'!C11)</f>
        <v>13626603.937234279</v>
      </c>
      <c r="H23" s="14" t="s">
        <v>3</v>
      </c>
      <c r="I23" s="1"/>
    </row>
    <row r="24" spans="1:9" x14ac:dyDescent="0.25">
      <c r="A24" s="1"/>
      <c r="B24" s="121" t="s">
        <v>52</v>
      </c>
      <c r="C24" s="122"/>
      <c r="D24" s="122"/>
      <c r="E24" s="122"/>
      <c r="F24" s="123"/>
      <c r="G24" s="52">
        <v>0</v>
      </c>
      <c r="H24" s="14" t="s">
        <v>3</v>
      </c>
      <c r="I24" s="1"/>
    </row>
    <row r="25" spans="1:9" x14ac:dyDescent="0.25">
      <c r="A25" s="1"/>
      <c r="B25" s="118" t="s">
        <v>53</v>
      </c>
      <c r="C25" s="119"/>
      <c r="D25" s="119"/>
      <c r="E25" s="119"/>
      <c r="F25" s="120"/>
      <c r="G25" s="24">
        <f>(G23+G24)*'Fane 12. Nøgletal'!C29</f>
        <v>272532.07874468557</v>
      </c>
      <c r="H25" s="14" t="s">
        <v>3</v>
      </c>
      <c r="I25" s="1"/>
    </row>
    <row r="26" spans="1:9" x14ac:dyDescent="0.25">
      <c r="A26" s="1"/>
      <c r="B26" s="61"/>
      <c r="C26" s="62"/>
      <c r="D26" s="62"/>
      <c r="E26" s="62"/>
      <c r="F26" s="62"/>
      <c r="G26" s="6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8" t="s">
        <v>60</v>
      </c>
      <c r="C29" s="119"/>
      <c r="D29" s="119"/>
      <c r="E29" s="119"/>
      <c r="F29" s="120"/>
      <c r="G29" s="24">
        <f>(G23+G24-G25)*(1+'Fane 12. Nøgletal'!C13)</f>
        <v>13516991.535163166</v>
      </c>
      <c r="H29" s="14" t="s">
        <v>3</v>
      </c>
      <c r="I29" s="1"/>
    </row>
    <row r="30" spans="1:9" x14ac:dyDescent="0.25">
      <c r="A30" s="1"/>
      <c r="B30" s="118" t="s">
        <v>147</v>
      </c>
      <c r="C30" s="119"/>
      <c r="D30" s="119"/>
      <c r="E30" s="119"/>
      <c r="F30" s="120"/>
      <c r="G30" s="24">
        <f>SUM('Fane 3. Omkostninger i ØR2021'!E10,'Fane 3. Omkostninger i ØR2021'!E12,'Fane 3. Omkostninger i ØR2021'!E14)*(1+'Fane 12. Nøgletal'!C13)</f>
        <v>199175.36814251999</v>
      </c>
      <c r="H30" s="14" t="s">
        <v>3</v>
      </c>
      <c r="I30" s="1"/>
    </row>
    <row r="31" spans="1:9" x14ac:dyDescent="0.25">
      <c r="A31" s="1"/>
      <c r="B31" s="118" t="s">
        <v>159</v>
      </c>
      <c r="C31" s="119"/>
      <c r="D31" s="119"/>
      <c r="E31" s="119"/>
      <c r="F31" s="120"/>
      <c r="G31" s="24">
        <f>(G29+G30)*'Fane 12. Nøgletal'!C29</f>
        <v>274323.33806611371</v>
      </c>
      <c r="H31" s="14" t="s">
        <v>3</v>
      </c>
      <c r="I31" s="1"/>
    </row>
    <row r="32" spans="1:9" x14ac:dyDescent="0.25">
      <c r="A32" s="1"/>
      <c r="B32" s="61"/>
      <c r="C32" s="62"/>
      <c r="D32" s="62"/>
      <c r="E32" s="62"/>
      <c r="F32" s="62"/>
      <c r="G32" s="6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8" t="s">
        <v>80</v>
      </c>
      <c r="C35" s="119"/>
      <c r="D35" s="119"/>
      <c r="E35" s="119"/>
      <c r="F35" s="120"/>
      <c r="G35" s="24">
        <f>(G29+G30-G31)*(1+'Fane 12. Nøgletal'!C13)</f>
        <v>13605834.056735493</v>
      </c>
      <c r="H35" s="14" t="s">
        <v>3</v>
      </c>
      <c r="I35" s="1"/>
    </row>
    <row r="36" spans="1:9" x14ac:dyDescent="0.25">
      <c r="A36" s="1"/>
      <c r="B36" s="37" t="s">
        <v>193</v>
      </c>
      <c r="C36" s="67"/>
      <c r="D36" s="67"/>
      <c r="E36" s="67"/>
      <c r="F36" s="68"/>
      <c r="G36" s="24">
        <f>SUM('Fane 2.1. Økonomisk ramme 2022'!C10)*(1+'Fane 12. Nøgletal'!C14)</f>
        <v>195245.58365483399</v>
      </c>
      <c r="H36" s="14" t="s">
        <v>3</v>
      </c>
      <c r="I36" s="1"/>
    </row>
    <row r="37" spans="1:9" x14ac:dyDescent="0.25">
      <c r="A37" s="1"/>
      <c r="B37" s="118" t="s">
        <v>222</v>
      </c>
      <c r="C37" s="119"/>
      <c r="D37" s="119"/>
      <c r="E37" s="119"/>
      <c r="F37" s="120"/>
      <c r="G37" s="24">
        <f>SUM('Fane 2.1. Økonomisk ramme 2022'!C12,'Fane 2.1. Økonomisk ramme 2022'!C14,'Fane 2.1. Økonomisk ramme 2022'!C16)*(1+'Fane 12. Nøgletal'!C14)</f>
        <v>730710.9243816802</v>
      </c>
      <c r="H37" s="14" t="s">
        <v>3</v>
      </c>
      <c r="I37" s="1"/>
    </row>
    <row r="38" spans="1:9" x14ac:dyDescent="0.25">
      <c r="A38" s="1"/>
      <c r="B38" s="118" t="s">
        <v>177</v>
      </c>
      <c r="C38" s="119"/>
      <c r="D38" s="119"/>
      <c r="E38" s="119"/>
      <c r="F38" s="120"/>
      <c r="G38" s="24">
        <f>(G35+G37)*'Fane 12. Nøgletal'!C29</f>
        <v>286730.89962234348</v>
      </c>
      <c r="H38" s="14" t="s">
        <v>3</v>
      </c>
      <c r="I38" s="1"/>
    </row>
    <row r="39" spans="1:9" x14ac:dyDescent="0.25">
      <c r="A39" s="1"/>
      <c r="B39" s="61"/>
      <c r="C39" s="62"/>
      <c r="D39" s="62"/>
      <c r="E39" s="62"/>
      <c r="F39" s="62"/>
      <c r="G39" s="6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8" t="s">
        <v>79</v>
      </c>
      <c r="C42" s="119"/>
      <c r="D42" s="119"/>
      <c r="E42" s="119"/>
      <c r="F42" s="120"/>
      <c r="G42" s="24">
        <f>(G35+G37-G38)*(1+'Fane 12. Nøgletal'!C14)</f>
        <v>14096178.467963764</v>
      </c>
      <c r="H42" s="14" t="s">
        <v>3</v>
      </c>
      <c r="I42" s="1"/>
    </row>
    <row r="43" spans="1:9" x14ac:dyDescent="0.25">
      <c r="A43" s="1"/>
      <c r="B43" s="118" t="s">
        <v>92</v>
      </c>
      <c r="C43" s="119"/>
      <c r="D43" s="119"/>
      <c r="E43" s="119"/>
      <c r="F43" s="120"/>
      <c r="G43" s="5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8" t="s">
        <v>61</v>
      </c>
      <c r="C44" s="119"/>
      <c r="D44" s="119"/>
      <c r="E44" s="119"/>
      <c r="F44" s="120"/>
      <c r="G44" s="24">
        <f>(G42+G43)*'Fane 12. Nøgletal'!C29</f>
        <v>281923.56935927528</v>
      </c>
      <c r="H44" s="14" t="s">
        <v>3</v>
      </c>
      <c r="I44" s="1"/>
    </row>
    <row r="45" spans="1:9" x14ac:dyDescent="0.25">
      <c r="A45" s="1"/>
      <c r="B45" s="61"/>
      <c r="C45" s="62"/>
      <c r="D45" s="62"/>
      <c r="E45" s="62"/>
      <c r="F45" s="62"/>
      <c r="G45" s="6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8" t="s">
        <v>149</v>
      </c>
      <c r="C48" s="119"/>
      <c r="D48" s="119"/>
      <c r="E48" s="119"/>
      <c r="F48" s="120"/>
      <c r="G48" s="24">
        <f>(G42+G43-G44)*(1+'Fane 12. Nøgletal'!C14)</f>
        <v>13859841.939769886</v>
      </c>
      <c r="H48" s="14" t="s">
        <v>3</v>
      </c>
      <c r="I48" s="1"/>
    </row>
    <row r="49" spans="1:9" x14ac:dyDescent="0.25">
      <c r="A49" s="1"/>
      <c r="B49" s="118" t="s">
        <v>150</v>
      </c>
      <c r="C49" s="119"/>
      <c r="D49" s="119"/>
      <c r="E49" s="119"/>
      <c r="F49" s="120"/>
      <c r="G49" s="5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8" t="s">
        <v>151</v>
      </c>
      <c r="C50" s="119"/>
      <c r="D50" s="119"/>
      <c r="E50" s="119"/>
      <c r="F50" s="120"/>
      <c r="G50" s="24">
        <f>(G48+G49)*'Fane 12. Nøgletal'!C29</f>
        <v>277196.83879539772</v>
      </c>
      <c r="H50" s="14" t="s">
        <v>3</v>
      </c>
      <c r="I50" s="1"/>
    </row>
    <row r="51" spans="1:9" x14ac:dyDescent="0.25">
      <c r="A51" s="1"/>
      <c r="B51" s="61"/>
      <c r="C51" s="62"/>
      <c r="D51" s="62"/>
      <c r="E51" s="62"/>
      <c r="F51" s="62"/>
      <c r="G51" s="6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8" t="s">
        <v>200</v>
      </c>
      <c r="C54" s="119"/>
      <c r="D54" s="119"/>
      <c r="E54" s="119"/>
      <c r="F54" s="120"/>
      <c r="G54" s="24">
        <f>(G48+G49-G50)*(1+'Fane 12. Nøgletal'!C14)</f>
        <v>13627467.829807706</v>
      </c>
      <c r="H54" s="14" t="s">
        <v>3</v>
      </c>
      <c r="I54" s="1"/>
    </row>
    <row r="55" spans="1:9" x14ac:dyDescent="0.25">
      <c r="A55" s="1"/>
      <c r="B55" s="118" t="s">
        <v>201</v>
      </c>
      <c r="C55" s="119"/>
      <c r="D55" s="119"/>
      <c r="E55" s="119"/>
      <c r="F55" s="120"/>
      <c r="G55" s="5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8" t="s">
        <v>202</v>
      </c>
      <c r="C56" s="119"/>
      <c r="D56" s="119"/>
      <c r="E56" s="119"/>
      <c r="F56" s="120"/>
      <c r="G56" s="24">
        <f>(G54+G55)*'Fane 12. Nøgletal'!C29</f>
        <v>272549.3565961541</v>
      </c>
      <c r="H56" s="14" t="s">
        <v>3</v>
      </c>
      <c r="I56" s="1"/>
    </row>
    <row r="57" spans="1:9" x14ac:dyDescent="0.25">
      <c r="A57" s="1"/>
      <c r="B57" s="61"/>
      <c r="C57" s="62"/>
      <c r="D57" s="62"/>
      <c r="E57" s="62"/>
      <c r="F57" s="62"/>
      <c r="G57" s="62"/>
      <c r="H57" s="20"/>
      <c r="I57" s="1"/>
    </row>
  </sheetData>
  <sheetProtection algorithmName="SHA-512" hashValue="Mh70iScPpPZ1NWrJFgGZJXPKo4rW2jEC8Y/KXHcaxx0QVcImjFlb6LV878hR0uHUI7ZhR7QqvYtzkVhPxMeIug==" saltValue="SGmOcFCJmG66JrpVz4gcfA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4" t="s">
        <v>116</v>
      </c>
      <c r="C1" s="125"/>
      <c r="D1" s="125"/>
      <c r="E1" s="125"/>
      <c r="F1" s="125"/>
      <c r="G1" s="125"/>
      <c r="H1" s="125"/>
      <c r="I1" s="1"/>
    </row>
    <row r="2" spans="1:9" ht="19.899999999999999" customHeight="1" x14ac:dyDescent="0.25">
      <c r="A2" s="1"/>
      <c r="B2" s="125"/>
      <c r="C2" s="125"/>
      <c r="D2" s="125"/>
      <c r="E2" s="125"/>
      <c r="F2" s="125"/>
      <c r="G2" s="125"/>
      <c r="H2" s="125"/>
      <c r="I2" s="1"/>
    </row>
    <row r="3" spans="1:9" ht="15" customHeight="1" x14ac:dyDescent="0.25">
      <c r="A3" s="1"/>
      <c r="B3" s="126"/>
      <c r="C3" s="126"/>
      <c r="D3" s="126"/>
      <c r="E3" s="126"/>
      <c r="F3" s="126"/>
      <c r="G3" s="126"/>
      <c r="H3" s="126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8" t="s">
        <v>62</v>
      </c>
      <c r="C5" s="119"/>
      <c r="D5" s="119"/>
      <c r="E5" s="119"/>
      <c r="F5" s="120"/>
      <c r="G5" s="24">
        <v>5661132</v>
      </c>
      <c r="H5" s="14" t="s">
        <v>3</v>
      </c>
      <c r="I5" s="1"/>
    </row>
    <row r="6" spans="1:9" x14ac:dyDescent="0.25">
      <c r="A6" s="1"/>
      <c r="B6" s="118" t="s">
        <v>59</v>
      </c>
      <c r="C6" s="119"/>
      <c r="D6" s="119"/>
      <c r="E6" s="119"/>
      <c r="F6" s="120"/>
      <c r="G6" s="24">
        <f>G5*'Fane 12. Nøgletal'!C19</f>
        <v>51516.301200000002</v>
      </c>
      <c r="H6" s="14" t="s">
        <v>3</v>
      </c>
      <c r="I6" s="1"/>
    </row>
    <row r="7" spans="1:9" x14ac:dyDescent="0.25">
      <c r="A7" s="1"/>
      <c r="B7" s="61"/>
      <c r="C7" s="62"/>
      <c r="D7" s="62"/>
      <c r="E7" s="62"/>
      <c r="F7" s="62"/>
      <c r="G7" s="6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8" t="s">
        <v>64</v>
      </c>
      <c r="C10" s="119"/>
      <c r="D10" s="119"/>
      <c r="E10" s="119"/>
      <c r="F10" s="120"/>
      <c r="G10" s="24">
        <f>(G5-G6)*(1+'Fane 12. Nøgletal'!C9)</f>
        <v>5680857.8181747599</v>
      </c>
      <c r="H10" s="14" t="s">
        <v>3</v>
      </c>
      <c r="I10" s="1"/>
    </row>
    <row r="11" spans="1:9" x14ac:dyDescent="0.25">
      <c r="A11" s="1"/>
      <c r="B11" s="121" t="s">
        <v>65</v>
      </c>
      <c r="C11" s="122"/>
      <c r="D11" s="122"/>
      <c r="E11" s="122"/>
      <c r="F11" s="123"/>
      <c r="G11" s="52">
        <v>0</v>
      </c>
      <c r="H11" s="14" t="s">
        <v>3</v>
      </c>
      <c r="I11" s="1"/>
    </row>
    <row r="12" spans="1:9" x14ac:dyDescent="0.25">
      <c r="A12" s="1"/>
      <c r="B12" s="118" t="s">
        <v>66</v>
      </c>
      <c r="C12" s="119"/>
      <c r="D12" s="119"/>
      <c r="E12" s="119"/>
      <c r="F12" s="120"/>
      <c r="G12" s="24">
        <f>G10*'Fane 12. Nøgletal'!C19+G11*'Fane 12. Nøgletal'!C20</f>
        <v>51695.806145390314</v>
      </c>
      <c r="H12" s="14" t="s">
        <v>3</v>
      </c>
      <c r="I12" s="1"/>
    </row>
    <row r="13" spans="1:9" x14ac:dyDescent="0.25">
      <c r="A13" s="1"/>
      <c r="B13" s="61"/>
      <c r="C13" s="62"/>
      <c r="D13" s="62"/>
      <c r="E13" s="62"/>
      <c r="F13" s="62"/>
      <c r="G13" s="6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8" t="s">
        <v>68</v>
      </c>
      <c r="C16" s="119"/>
      <c r="D16" s="119"/>
      <c r="E16" s="119"/>
      <c r="F16" s="120"/>
      <c r="G16" s="24">
        <f>(G10+G11-G12)*(1+'Fane 12. Nøgletal'!C11)</f>
        <v>5724294.8500326648</v>
      </c>
      <c r="H16" s="14" t="s">
        <v>3</v>
      </c>
      <c r="I16" s="1"/>
    </row>
    <row r="17" spans="1:9" x14ac:dyDescent="0.25">
      <c r="A17" s="1"/>
      <c r="B17" s="118" t="s">
        <v>126</v>
      </c>
      <c r="C17" s="119"/>
      <c r="D17" s="119"/>
      <c r="E17" s="119"/>
      <c r="F17" s="120"/>
      <c r="G17" s="24">
        <v>-90846.100503005378</v>
      </c>
      <c r="H17" s="14" t="s">
        <v>3</v>
      </c>
      <c r="I17" s="1"/>
    </row>
    <row r="18" spans="1:9" x14ac:dyDescent="0.25">
      <c r="A18" s="1"/>
      <c r="B18" s="121" t="s">
        <v>69</v>
      </c>
      <c r="C18" s="122"/>
      <c r="D18" s="122"/>
      <c r="E18" s="122"/>
      <c r="F18" s="123"/>
      <c r="G18" s="52">
        <v>0</v>
      </c>
      <c r="H18" s="14" t="s">
        <v>3</v>
      </c>
      <c r="I18" s="1"/>
    </row>
    <row r="19" spans="1:9" x14ac:dyDescent="0.25">
      <c r="A19" s="1"/>
      <c r="B19" s="118" t="s">
        <v>70</v>
      </c>
      <c r="C19" s="119"/>
      <c r="D19" s="119"/>
      <c r="E19" s="119"/>
      <c r="F19" s="120"/>
      <c r="G19" s="24">
        <f>(G16+G17+G18)*'Fane 12. Nøgletal'!C21</f>
        <v>49011.004120908037</v>
      </c>
      <c r="H19" s="14" t="s">
        <v>3</v>
      </c>
      <c r="I19" s="1"/>
    </row>
    <row r="20" spans="1:9" x14ac:dyDescent="0.25">
      <c r="A20" s="1"/>
      <c r="B20" s="61"/>
      <c r="C20" s="62"/>
      <c r="D20" s="62"/>
      <c r="E20" s="62"/>
      <c r="F20" s="62"/>
      <c r="G20" s="6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8" t="s">
        <v>72</v>
      </c>
      <c r="C23" s="119"/>
      <c r="D23" s="119"/>
      <c r="E23" s="119"/>
      <c r="F23" s="120"/>
      <c r="G23" s="24">
        <f>(SUM(G16:G18)-G19)*(1+'Fane 12. Nøgletal'!C11)</f>
        <v>5678814.743306159</v>
      </c>
      <c r="H23" s="14" t="s">
        <v>3</v>
      </c>
      <c r="I23" s="1"/>
    </row>
    <row r="24" spans="1:9" x14ac:dyDescent="0.25">
      <c r="A24" s="1"/>
      <c r="B24" s="121" t="s">
        <v>73</v>
      </c>
      <c r="C24" s="122"/>
      <c r="D24" s="122"/>
      <c r="E24" s="122"/>
      <c r="F24" s="123"/>
      <c r="G24" s="24">
        <v>7451.911691888401</v>
      </c>
      <c r="H24" s="14" t="s">
        <v>3</v>
      </c>
      <c r="I24" s="1"/>
    </row>
    <row r="25" spans="1:9" x14ac:dyDescent="0.25">
      <c r="A25" s="1"/>
      <c r="B25" s="118" t="s">
        <v>74</v>
      </c>
      <c r="C25" s="119"/>
      <c r="D25" s="119"/>
      <c r="E25" s="119"/>
      <c r="F25" s="120"/>
      <c r="G25" s="24">
        <f>G23*'Fane 12. Nøgletal'!C21+G24*'Fane 12. Nøgletal'!C22</f>
        <v>49617.322558813212</v>
      </c>
      <c r="H25" s="14" t="s">
        <v>3</v>
      </c>
      <c r="I25" s="1"/>
    </row>
    <row r="26" spans="1:9" x14ac:dyDescent="0.25">
      <c r="A26" s="1"/>
      <c r="B26" s="61"/>
      <c r="C26" s="62"/>
      <c r="D26" s="62"/>
      <c r="E26" s="62"/>
      <c r="F26" s="62"/>
      <c r="G26" s="6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8" t="s">
        <v>75</v>
      </c>
      <c r="C29" s="119"/>
      <c r="D29" s="119"/>
      <c r="E29" s="119"/>
      <c r="F29" s="120"/>
      <c r="G29" s="24">
        <f>(G23+G24-G25)*(1+'Fane 12. Nøgletal'!C13)</f>
        <v>5705416.4542949935</v>
      </c>
      <c r="H29" s="14" t="s">
        <v>3</v>
      </c>
      <c r="I29" s="1"/>
    </row>
    <row r="30" spans="1:9" x14ac:dyDescent="0.25">
      <c r="A30" s="1"/>
      <c r="B30" s="118" t="s">
        <v>152</v>
      </c>
      <c r="C30" s="119"/>
      <c r="D30" s="119"/>
      <c r="E30" s="119"/>
      <c r="F30" s="120"/>
      <c r="G30" s="24">
        <v>1312725.7413244799</v>
      </c>
      <c r="H30" s="14" t="s">
        <v>3</v>
      </c>
      <c r="I30" s="1"/>
    </row>
    <row r="31" spans="1:9" x14ac:dyDescent="0.25">
      <c r="A31" s="1"/>
      <c r="B31" s="118" t="s">
        <v>174</v>
      </c>
      <c r="C31" s="119"/>
      <c r="D31" s="119"/>
      <c r="E31" s="119"/>
      <c r="F31" s="120"/>
      <c r="G31" s="24">
        <f>(G29+G30)*'Fane 12. Nøgletal'!C23</f>
        <v>192998.91037953552</v>
      </c>
      <c r="H31" s="14" t="s">
        <v>3</v>
      </c>
      <c r="I31" s="1"/>
    </row>
    <row r="32" spans="1:9" x14ac:dyDescent="0.25">
      <c r="A32" s="1"/>
      <c r="B32" s="61"/>
      <c r="C32" s="62"/>
      <c r="D32" s="62"/>
      <c r="E32" s="62"/>
      <c r="F32" s="62"/>
      <c r="G32" s="6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8" t="s">
        <v>78</v>
      </c>
      <c r="C35" s="119"/>
      <c r="D35" s="119"/>
      <c r="E35" s="119"/>
      <c r="F35" s="120"/>
      <c r="G35" s="24">
        <f>(G29+G30-G31)*(1+'Fane 12. Nøgletal'!C13)</f>
        <v>6908410.0333198644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1276947.3703971363</v>
      </c>
      <c r="H36" s="14" t="s">
        <v>3</v>
      </c>
      <c r="I36" s="38"/>
    </row>
    <row r="37" spans="1:9" x14ac:dyDescent="0.25">
      <c r="A37" s="1"/>
      <c r="B37" s="118" t="s">
        <v>194</v>
      </c>
      <c r="C37" s="119"/>
      <c r="D37" s="119"/>
      <c r="E37" s="119"/>
      <c r="F37" s="120"/>
      <c r="G37" s="52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8" t="s">
        <v>179</v>
      </c>
      <c r="C38" s="119"/>
      <c r="D38" s="119"/>
      <c r="E38" s="119"/>
      <c r="F38" s="120"/>
      <c r="G38" s="24">
        <f>G35*'Fane 12. Nøgletal'!C23+G37*'Fane 12. Nøgletal'!C24</f>
        <v>189981.27591629626</v>
      </c>
      <c r="H38" s="14" t="s">
        <v>3</v>
      </c>
      <c r="I38" s="1"/>
    </row>
    <row r="39" spans="1:9" x14ac:dyDescent="0.25">
      <c r="A39" s="1"/>
      <c r="B39" s="61"/>
      <c r="C39" s="62"/>
      <c r="D39" s="62"/>
      <c r="E39" s="62"/>
      <c r="F39" s="62"/>
      <c r="G39" s="6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8" t="s">
        <v>77</v>
      </c>
      <c r="C42" s="119"/>
      <c r="D42" s="119"/>
      <c r="E42" s="119"/>
      <c r="F42" s="120"/>
      <c r="G42" s="24">
        <f>(G35+G37-G38)*(1+'Fane 12. Nøgletal'!C14)</f>
        <v>6740599.5723030008</v>
      </c>
      <c r="H42" s="14" t="s">
        <v>3</v>
      </c>
      <c r="I42" s="1"/>
    </row>
    <row r="43" spans="1:9" x14ac:dyDescent="0.25">
      <c r="A43" s="1"/>
      <c r="B43" s="118" t="s">
        <v>96</v>
      </c>
      <c r="C43" s="119"/>
      <c r="D43" s="119"/>
      <c r="E43" s="119"/>
      <c r="F43" s="120"/>
      <c r="G43" s="5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8" t="s">
        <v>76</v>
      </c>
      <c r="C44" s="119"/>
      <c r="D44" s="119"/>
      <c r="E44" s="119"/>
      <c r="F44" s="120"/>
      <c r="G44" s="24">
        <f>(G42+G43)*'Fane 12. Nøgletal'!C24</f>
        <v>99760.873670084417</v>
      </c>
      <c r="H44" s="14" t="s">
        <v>3</v>
      </c>
      <c r="I44" s="1"/>
    </row>
    <row r="45" spans="1:9" x14ac:dyDescent="0.25">
      <c r="A45" s="1"/>
      <c r="B45" s="61"/>
      <c r="C45" s="62"/>
      <c r="D45" s="62"/>
      <c r="E45" s="62"/>
      <c r="F45" s="62"/>
      <c r="G45" s="6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8" t="s">
        <v>154</v>
      </c>
      <c r="C48" s="119"/>
      <c r="D48" s="119"/>
      <c r="E48" s="119"/>
      <c r="F48" s="120"/>
      <c r="G48" s="24">
        <f>(G42+G43-G44)*(1+'Fane 12. Nøgletal'!C14)</f>
        <v>6662753.4663384054</v>
      </c>
      <c r="H48" s="14" t="s">
        <v>3</v>
      </c>
      <c r="I48" s="1"/>
    </row>
    <row r="49" spans="1:9" x14ac:dyDescent="0.25">
      <c r="A49" s="1"/>
      <c r="B49" s="118" t="s">
        <v>155</v>
      </c>
      <c r="C49" s="119"/>
      <c r="D49" s="119"/>
      <c r="E49" s="119"/>
      <c r="F49" s="120"/>
      <c r="G49" s="5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8" t="s">
        <v>156</v>
      </c>
      <c r="C50" s="119"/>
      <c r="D50" s="119"/>
      <c r="E50" s="119"/>
      <c r="F50" s="120"/>
      <c r="G50" s="24">
        <f>(G48+G49)*'Fane 12. Nøgletal'!C24</f>
        <v>98608.751301808399</v>
      </c>
      <c r="H50" s="14" t="s">
        <v>3</v>
      </c>
      <c r="I50" s="1"/>
    </row>
    <row r="51" spans="1:9" x14ac:dyDescent="0.25">
      <c r="A51" s="1"/>
      <c r="B51" s="61"/>
      <c r="C51" s="62"/>
      <c r="D51" s="62"/>
      <c r="E51" s="62"/>
      <c r="F51" s="62"/>
      <c r="G51" s="6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8" t="s">
        <v>196</v>
      </c>
      <c r="C54" s="119"/>
      <c r="D54" s="119"/>
      <c r="E54" s="119"/>
      <c r="F54" s="120"/>
      <c r="G54" s="24">
        <f>(G48+G49-G50)*(1+'Fane 12. Nøgletal'!C14)</f>
        <v>6585806.3925962187</v>
      </c>
      <c r="H54" s="14" t="s">
        <v>3</v>
      </c>
      <c r="I54" s="1"/>
    </row>
    <row r="55" spans="1:9" x14ac:dyDescent="0.25">
      <c r="A55" s="1"/>
      <c r="B55" s="118" t="s">
        <v>197</v>
      </c>
      <c r="C55" s="119"/>
      <c r="D55" s="119"/>
      <c r="E55" s="119"/>
      <c r="F55" s="120"/>
      <c r="G55" s="5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8" t="s">
        <v>198</v>
      </c>
      <c r="C56" s="119"/>
      <c r="D56" s="119"/>
      <c r="E56" s="119"/>
      <c r="F56" s="120"/>
      <c r="G56" s="24">
        <f>(G54+G55)*'Fane 12. Nøgletal'!C24</f>
        <v>97469.934610424039</v>
      </c>
      <c r="H56" s="14" t="s">
        <v>3</v>
      </c>
      <c r="I56" s="1"/>
    </row>
    <row r="57" spans="1:9" x14ac:dyDescent="0.25">
      <c r="A57" s="1"/>
      <c r="B57" s="61"/>
      <c r="C57" s="62"/>
      <c r="D57" s="62"/>
      <c r="E57" s="62"/>
      <c r="F57" s="62"/>
      <c r="G57" s="62"/>
      <c r="H57" s="20"/>
      <c r="I57" s="1"/>
    </row>
  </sheetData>
  <sheetProtection algorithmName="SHA-512" hashValue="Vz9AmObbFZDdbKbObYIdJeWuanbfwsUmMN0gVfgW4jsPt6HRn+HcwBaO+9rmEcFLL45+Tws2IUKWOdRbOUyGJA==" saltValue="mIIAabDL8TYx2ZPT0zSPfQ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91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8" t="s">
        <v>105</v>
      </c>
      <c r="C9" s="119"/>
      <c r="D9" s="119"/>
      <c r="E9" s="119"/>
      <c r="F9" s="120"/>
      <c r="G9" s="44">
        <v>0</v>
      </c>
      <c r="H9" s="14"/>
      <c r="I9" s="1"/>
    </row>
    <row r="10" spans="1:9" x14ac:dyDescent="0.25">
      <c r="A10" s="1"/>
      <c r="B10" s="118" t="s">
        <v>141</v>
      </c>
      <c r="C10" s="119"/>
      <c r="D10" s="119"/>
      <c r="E10" s="119"/>
      <c r="F10" s="120"/>
      <c r="G10" s="44">
        <v>2.9545235710652915E-3</v>
      </c>
      <c r="H10" s="14"/>
      <c r="I10" s="1"/>
    </row>
    <row r="11" spans="1:9" x14ac:dyDescent="0.25">
      <c r="A11" s="1"/>
      <c r="B11" s="61"/>
      <c r="C11" s="62"/>
      <c r="D11" s="62"/>
      <c r="E11" s="62"/>
      <c r="F11" s="62"/>
      <c r="G11" s="62"/>
      <c r="H11" s="20"/>
      <c r="I11" s="1"/>
    </row>
    <row r="12" spans="1:9" ht="14.25" customHeight="1" x14ac:dyDescent="0.25">
      <c r="A12" s="1"/>
      <c r="B12" s="127" t="s">
        <v>192</v>
      </c>
      <c r="C12" s="128"/>
      <c r="D12" s="128"/>
      <c r="E12" s="128"/>
      <c r="F12" s="128"/>
      <c r="G12" s="128"/>
      <c r="H12" s="129"/>
      <c r="I12" s="1"/>
    </row>
    <row r="13" spans="1:9" ht="12.75" customHeight="1" x14ac:dyDescent="0.25">
      <c r="A13" s="18"/>
      <c r="B13" s="130"/>
      <c r="C13" s="131"/>
      <c r="D13" s="131"/>
      <c r="E13" s="131"/>
      <c r="F13" s="131"/>
      <c r="G13" s="131"/>
      <c r="H13" s="132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uv0EXhnjJG4pPs4WBqb5wT/vzMOyOBG0TbjePQKzH6VSJMIuxDOR4jCza3w3m+bMkvu4Txm1GKBVMyNb+UxkQ==" saltValue="3Mw1EMmQ2QG/xfcJvGGow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2021-10-04T11:13:17Z</dcterms:modified>
</cp:coreProperties>
</file>