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Sønderborg Vandforsyning AS (V181)\ØR2025\"/>
    </mc:Choice>
  </mc:AlternateContent>
  <xr:revisionPtr revIDLastSave="0" documentId="13_ncr:1_{239AF1D3-EA40-4C59-894D-5C8DA6FC45A3}"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<sst xmlns="http://schemas.openxmlformats.org/spreadsheetml/2006/main" count="451" uniqueCount="206">
  <si>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</si>
  <si>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</si>
  <si>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</si>
  <si>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</si>
  <si>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</si>
  <si>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</si>
  <si>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</si>
  <si>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</si>
  <si>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</si>
  <si>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</si>
  <si>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</si>
  <si>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</si>
  <si>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</si>
  <si>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</si>
  <si>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</si>
  <si>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</si>
  <si>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</si>
  <si>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</si>
  <si>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</si>
  <si>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</si>
  <si>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</si>
  <si>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</si>
  <si>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</si>
  <si>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</si>
  <si>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</si>
  <si>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</si>
  <si>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</si>
  <si>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</si>
  <si>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</si>
  <si>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</si>
  <si>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</si>
  <si>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</si>
  <si>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</si>
  <si>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</si>
  <si>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</si>
  <si>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</si>
  <si>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</si>
  <si>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</si>
  <si>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</si>
  <si>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</si>
  <si>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</si>
  <si>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</si>
  <si>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</si>
  <si>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</si>
  <si>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</si>
  <si>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</si>
  <si>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</si>
  <si>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</si>
  <si>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</si>
  <si>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</si>
  <si>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</si>
  <si>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</si>
  <si>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</si>
  <si>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</si>
  <si>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</si>
  <si>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</si>
  <si>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</si>
  <si>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</si>
  <si>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</si>
  <si>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</si>
  <si>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</si>
  <si>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</si>
  <si>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</si>
  <si>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</si>
  <si>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</si>
  <si>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</si>
  <si>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</si>
  <si>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</si>
  <si>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</si>
  <si>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</si>
  <si>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</si>
  <si>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</si>
  <si>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</si>
  <si>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</si>
  <si>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</si>
  <si>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</si>
  <si>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</si>
  <si>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</si>
  <si>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</si>
  <si>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</si>
  <si>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</si>
  <si>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</si>
  <si>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</si>
  <si>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</si>
  <si>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</si>
  <si>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</si>
  <si>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</si>
  <si>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</si>
  <si>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</si>
  <si>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</si>
  <si>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</si>
  <si>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</si>
  <si>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</si>
  <si>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</si>
  <si>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</si>
  <si>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</si>
  <si>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</si>
  <si>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</si>
  <si>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</si>
  <si>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</si>
  <si>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</si>
  <si>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</si>
  <si>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</si>
  <si>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</si>
  <si>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</si>
  <si>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</si>
  <si>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</si>
  <si>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</si>
  <si>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</si>
  <si>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</si>
  <si>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</si>
  <si>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</si>
  <si>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</si>
  <si>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</si>
  <si>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</si>
  <si>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</si>
  <si>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</si>
  <si>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</si>
  <si>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</si>
  <si>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</si>
  <si>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</si>
  <si>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</si>
  <si>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</si>
  <si>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</si>
  <si>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</si>
  <si>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</si>
  <si>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</si>
  <si>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</si>
  <si>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</si>
  <si>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</si>
  <si>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</si>
  <si>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</si>
  <si>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</si>
  <si>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</si>
  <si>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</si>
  <si>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</si>
  <si>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</si>
  <si>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</si>
  <si>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</si>
  <si>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</si>
  <si>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</si>
  <si>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</si>
  <si>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</si>
  <si>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</si>
  <si>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</si>
  <si>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</si>
  <si>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</si>
  <si>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</si>
  <si>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</si>
  <si>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</si>
  <si>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</si>
  <si>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</si>
  <si>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</si>
  <si>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</si>
  <si>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</si>
  <si>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</si>
  <si>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</si>
  <si>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</si>
  <si>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</si>
  <si>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</si>
  <si>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</si>
  <si>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</si>
  <si>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</si>
  <si>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</si>
  <si>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</si>
  <si>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</si>
  <si>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</si>
  <si>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</si>
  <si>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</si>
  <si>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</si>
  <si>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</si>
  <si>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</si>
  <si>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</si>
  <si>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</si>
  <si>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</si>
  <si>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</si>
  <si>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</si>
  <si>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</si>
  <si>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</si>
  <si>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</si>
  <si>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</si>
  <si>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</si>
  <si>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</si>
  <si>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</si>
  <si>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</si>
  <si>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</si>
  <si>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</si>
  <si>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</si>
  <si>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</si>
  <si>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</si>
  <si>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</si>
  <si>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</si>
  <si>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</si>
  <si>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</si>
  <si>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</si>
  <si>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</si>
  <si>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</si>
  <si>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</si>
  <si>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</si>
  <si>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</si>
  <si>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</si>
  <si>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</si>
  <si>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Erstatninger</t>
  </si>
  <si>
    <t>Vandsamarbejde etableret i medfør af §52b i vandforsyningsloven</t>
  </si>
  <si>
    <t>Nye kunder 2023</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</si>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</sst>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19">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87" t="s">
        <v>4</v>
      </c>
      <c r="D6" s="87"/>
      <c r="E6" s="87"/>
      <c r="F6" s="87"/>
      <c r="G6" s="1"/>
    </row>
    <row r="7" spans="1:7" ht="15" customHeight="1" x14ac:dyDescent="0.25">
      <c r="A7" s="1"/>
      <c r="B7" s="3"/>
      <c r="C7" s="87"/>
      <c r="D7" s="87"/>
      <c r="E7" s="87"/>
      <c r="F7" s="87"/>
      <c r="G7" s="1"/>
    </row>
    <row r="8" spans="1:7" ht="15.75" x14ac:dyDescent="0.25">
      <c r="A8" s="1"/>
      <c r="B8" s="4"/>
      <c r="C8" s="89" t="s">
        <v>198</v>
      </c>
      <c r="D8" s="89"/>
      <c r="E8" s="89"/>
      <c r="F8" s="89"/>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8" t="s">
        <v>5</v>
      </c>
      <c r="D11" s="88"/>
      <c r="E11" s="88"/>
      <c r="F11" s="88"/>
      <c r="G11" s="1"/>
    </row>
    <row r="12" spans="1:7" x14ac:dyDescent="0.25">
      <c r="A12" s="1"/>
      <c r="B12" s="1"/>
      <c r="C12" s="1"/>
      <c r="D12" s="1"/>
      <c r="E12" s="1"/>
      <c r="F12" s="1"/>
      <c r="G12" s="1"/>
    </row>
    <row r="13" spans="1:7" x14ac:dyDescent="0.25">
      <c r="A13" s="1"/>
      <c r="B13" s="6" t="s">
        <v>6</v>
      </c>
      <c r="C13" s="84" t="s">
        <v>124</v>
      </c>
      <c r="D13" s="85"/>
      <c r="E13" s="85"/>
      <c r="F13" s="86"/>
      <c r="G13" s="1"/>
    </row>
    <row r="14" spans="1:7" x14ac:dyDescent="0.25">
      <c r="A14" s="1"/>
      <c r="B14" s="6" t="s">
        <v>14</v>
      </c>
      <c r="C14" s="84" t="s">
        <v>159</v>
      </c>
      <c r="D14" s="85"/>
      <c r="E14" s="85"/>
      <c r="F14" s="86"/>
      <c r="G14" s="1"/>
    </row>
    <row r="15" spans="1:7" x14ac:dyDescent="0.25">
      <c r="A15" s="1"/>
      <c r="B15" s="6" t="s">
        <v>29</v>
      </c>
      <c r="C15" s="84" t="s">
        <v>107</v>
      </c>
      <c r="D15" s="85"/>
      <c r="E15" s="85"/>
      <c r="F15" s="86"/>
      <c r="G15" s="1"/>
    </row>
    <row r="16" spans="1:7" x14ac:dyDescent="0.25">
      <c r="A16" s="1"/>
      <c r="B16" s="6" t="s">
        <v>30</v>
      </c>
      <c r="C16" s="84" t="s">
        <v>125</v>
      </c>
      <c r="D16" s="85"/>
      <c r="E16" s="85"/>
      <c r="F16" s="86"/>
      <c r="G16" s="1"/>
    </row>
    <row r="17" spans="1:7" x14ac:dyDescent="0.25">
      <c r="A17" s="1"/>
      <c r="B17" s="6" t="s">
        <v>57</v>
      </c>
      <c r="C17" s="84" t="s">
        <v>126</v>
      </c>
      <c r="D17" s="85"/>
      <c r="E17" s="85"/>
      <c r="F17" s="86"/>
      <c r="G17" s="1"/>
    </row>
    <row r="18" spans="1:7" x14ac:dyDescent="0.25">
      <c r="A18" s="1"/>
      <c r="B18" s="6" t="s">
        <v>49</v>
      </c>
      <c r="C18" s="90" t="s">
        <v>42</v>
      </c>
      <c r="D18" s="91"/>
      <c r="E18" s="91"/>
      <c r="F18" s="92"/>
      <c r="G18" s="1"/>
    </row>
    <row r="19" spans="1:7" x14ac:dyDescent="0.25">
      <c r="A19" s="1"/>
      <c r="B19" s="6" t="s">
        <v>50</v>
      </c>
      <c r="C19" s="90" t="s">
        <v>43</v>
      </c>
      <c r="D19" s="91"/>
      <c r="E19" s="91"/>
      <c r="F19" s="92"/>
      <c r="G19" s="1"/>
    </row>
    <row r="20" spans="1:7" x14ac:dyDescent="0.25">
      <c r="A20" s="1"/>
      <c r="B20" s="6" t="s">
        <v>7</v>
      </c>
      <c r="C20" s="90" t="s">
        <v>9</v>
      </c>
      <c r="D20" s="91"/>
      <c r="E20" s="91"/>
      <c r="F20" s="92"/>
      <c r="G20" s="1"/>
    </row>
    <row r="21" spans="1:7" x14ac:dyDescent="0.25">
      <c r="A21" s="1"/>
      <c r="B21" s="6" t="s">
        <v>51</v>
      </c>
      <c r="C21" s="81" t="s">
        <v>11</v>
      </c>
      <c r="D21" s="82"/>
      <c r="E21" s="82"/>
      <c r="F21" s="83"/>
      <c r="G21" s="1"/>
    </row>
    <row r="22" spans="1:7" x14ac:dyDescent="0.25">
      <c r="A22" s="1"/>
      <c r="B22" s="6" t="s">
        <v>37</v>
      </c>
      <c r="C22" s="75" t="s">
        <v>127</v>
      </c>
      <c r="D22" s="76"/>
      <c r="E22" s="76"/>
      <c r="F22" s="77"/>
      <c r="G22" s="1"/>
    </row>
    <row r="23" spans="1:7" x14ac:dyDescent="0.25">
      <c r="A23" s="1"/>
      <c r="B23" s="6" t="s">
        <v>8</v>
      </c>
      <c r="C23" s="75" t="s">
        <v>89</v>
      </c>
      <c r="D23" s="76"/>
      <c r="E23" s="76"/>
      <c r="F23" s="77"/>
      <c r="G23" s="1"/>
    </row>
    <row r="24" spans="1:7" x14ac:dyDescent="0.25">
      <c r="A24" s="1"/>
      <c r="B24" s="6" t="s">
        <v>85</v>
      </c>
      <c r="C24" s="75" t="s">
        <v>78</v>
      </c>
      <c r="D24" s="76"/>
      <c r="E24" s="76"/>
      <c r="F24" s="77"/>
      <c r="G24" s="1"/>
    </row>
    <row r="25" spans="1:7" x14ac:dyDescent="0.25">
      <c r="A25" s="1"/>
      <c r="B25" s="6" t="s">
        <v>86</v>
      </c>
      <c r="C25" s="75" t="s">
        <v>38</v>
      </c>
      <c r="D25" s="76"/>
      <c r="E25" s="76"/>
      <c r="F25" s="77"/>
      <c r="G25" s="1"/>
    </row>
    <row r="26" spans="1:7" x14ac:dyDescent="0.25">
      <c r="A26" s="1"/>
      <c r="B26" s="6" t="s">
        <v>87</v>
      </c>
      <c r="C26" s="75" t="s">
        <v>39</v>
      </c>
      <c r="D26" s="76"/>
      <c r="E26" s="76"/>
      <c r="F26" s="77"/>
      <c r="G26" s="1"/>
    </row>
    <row r="27" spans="1:7" x14ac:dyDescent="0.25">
      <c r="A27" s="1"/>
      <c r="B27" s="6" t="s">
        <v>52</v>
      </c>
      <c r="C27" s="75" t="s">
        <v>58</v>
      </c>
      <c r="D27" s="76"/>
      <c r="E27" s="76"/>
      <c r="F27" s="77"/>
      <c r="G27" s="1"/>
    </row>
    <row r="28" spans="1:7" x14ac:dyDescent="0.25">
      <c r="A28" s="1"/>
      <c r="B28" s="6" t="s">
        <v>46</v>
      </c>
      <c r="C28" s="75" t="s">
        <v>31</v>
      </c>
      <c r="D28" s="76"/>
      <c r="E28" s="76"/>
      <c r="F28" s="77"/>
      <c r="G28" s="1"/>
    </row>
    <row r="29" spans="1:7" x14ac:dyDescent="0.25">
      <c r="A29" s="1"/>
      <c r="B29" s="6" t="s">
        <v>88</v>
      </c>
      <c r="C29" s="78" t="s">
        <v>47</v>
      </c>
      <c r="D29" s="79"/>
      <c r="E29" s="79"/>
      <c r="F29" s="8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CpYKtePrjWOwQKTWVxzQXJkAUdnPeySNjt3zRFN2Qo3QxRS0W3v8H+aIIGek+d+Oa/9PBjU9UC7BDiWh9revfg==" saltValue="T3KkF+WTB4F01sPRJYqMgg=="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55</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7" t="s">
        <v>142</v>
      </c>
      <c r="C8" s="98"/>
      <c r="D8" s="99"/>
      <c r="E8" s="1"/>
    </row>
    <row r="9" spans="1:5" ht="15" customHeight="1" x14ac:dyDescent="0.25">
      <c r="A9" s="1"/>
      <c r="B9" s="51" t="s">
        <v>27</v>
      </c>
      <c r="C9" s="45" t="s">
        <v>145</v>
      </c>
      <c r="D9" s="11"/>
      <c r="E9" s="1"/>
    </row>
    <row r="10" spans="1:5" ht="15" customHeight="1" x14ac:dyDescent="0.25">
      <c r="A10" s="1"/>
      <c r="B10" s="64" t="s">
        <v>199</v>
      </c>
      <c r="C10" s="65">
        <v>14229937</v>
      </c>
      <c r="D10" s="14" t="s">
        <v>3</v>
      </c>
      <c r="E10" s="1"/>
    </row>
    <row r="11" spans="1:5" x14ac:dyDescent="0.25">
      <c r="A11" s="1"/>
      <c r="B11" s="64" t="s">
        <v>200</v>
      </c>
      <c r="C11" s="65">
        <v>197540</v>
      </c>
      <c r="D11" s="14" t="s">
        <v>3</v>
      </c>
      <c r="E11" s="1"/>
    </row>
    <row r="12" spans="1:5" x14ac:dyDescent="0.25">
      <c r="A12" s="1"/>
      <c r="B12" s="64" t="s">
        <v>201</v>
      </c>
      <c r="C12" s="65">
        <v>84327</v>
      </c>
      <c r="D12" s="14" t="s">
        <v>3</v>
      </c>
      <c r="E12" s="1"/>
    </row>
    <row r="13" spans="1:5" x14ac:dyDescent="0.25">
      <c r="A13" s="1"/>
      <c r="B13" s="64" t="s">
        <v>202</v>
      </c>
      <c r="C13" s="65">
        <v>10103</v>
      </c>
      <c r="D13" s="14" t="s">
        <v>3</v>
      </c>
      <c r="E13" s="1"/>
    </row>
    <row r="14" spans="1:5" x14ac:dyDescent="0.25">
      <c r="A14" s="1"/>
      <c r="B14" s="64" t="s">
        <v>203</v>
      </c>
      <c r="C14" s="65">
        <v>1159889</v>
      </c>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15681796</v>
      </c>
      <c r="D19" s="13" t="s">
        <v>3</v>
      </c>
      <c r="E19" s="1"/>
    </row>
    <row r="20" spans="1:5" x14ac:dyDescent="0.25">
      <c r="A20" s="1"/>
      <c r="B20" s="52" t="s">
        <v>144</v>
      </c>
      <c r="C20" s="12">
        <f>C19*(1+'Fane 13. Nøgletal'!C11)^2</f>
        <v>17830134.463459238</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DeikUXLuI/fA1my6nZEdFxEI3XfZkic7GeQApl2vC6zcOsnHauf+GEdD5gmJ1aILNoiFFFYEBHThTCU8OYSiXw==" saltValue="Eo9dgE2UG1TXJtNzxUmz1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5" t="s">
        <v>172</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1"/>
      <c r="D7" s="1"/>
      <c r="E7" s="1"/>
    </row>
    <row r="8" spans="1:5" x14ac:dyDescent="0.25">
      <c r="A8" s="1"/>
      <c r="B8" s="97" t="s">
        <v>175</v>
      </c>
      <c r="C8" s="98"/>
      <c r="D8" s="99"/>
      <c r="E8" s="1"/>
    </row>
    <row r="9" spans="1:5" x14ac:dyDescent="0.25">
      <c r="A9" s="1"/>
      <c r="B9" s="56" t="s">
        <v>176</v>
      </c>
      <c r="C9" s="9">
        <v>-415920.12234985083</v>
      </c>
      <c r="D9" s="39" t="s">
        <v>3</v>
      </c>
      <c r="E9" s="1"/>
    </row>
    <row r="10" spans="1:5" x14ac:dyDescent="0.25">
      <c r="A10" s="1"/>
      <c r="B10" s="56" t="s">
        <v>174</v>
      </c>
      <c r="C10" s="9">
        <v>-345554.56163761765</v>
      </c>
      <c r="D10" s="14" t="s">
        <v>3</v>
      </c>
      <c r="E10" s="1"/>
    </row>
    <row r="11" spans="1:5" x14ac:dyDescent="0.25">
      <c r="A11" s="1"/>
      <c r="B11" s="52"/>
      <c r="C11" s="53"/>
      <c r="D11" s="19"/>
      <c r="E11" s="1"/>
    </row>
    <row r="12" spans="1:5" ht="53.85" customHeight="1" x14ac:dyDescent="0.25">
      <c r="A12" s="1"/>
      <c r="B12" s="106" t="s">
        <v>173</v>
      </c>
      <c r="C12" s="107"/>
      <c r="D12" s="108"/>
      <c r="E12" s="1"/>
    </row>
    <row r="13" spans="1:5" x14ac:dyDescent="0.25">
      <c r="A13" s="1"/>
      <c r="B13" s="1"/>
      <c r="C13" s="1"/>
      <c r="D13" s="1"/>
      <c r="E13" s="1"/>
    </row>
    <row r="14" spans="1:5" x14ac:dyDescent="0.25">
      <c r="A14" s="1"/>
      <c r="B14" s="68" t="s">
        <v>177</v>
      </c>
      <c r="C14" s="69"/>
      <c r="D14" s="70"/>
      <c r="E14" s="1"/>
    </row>
    <row r="15" spans="1:5" x14ac:dyDescent="0.25">
      <c r="A15" s="1"/>
      <c r="B15" s="56" t="s">
        <v>178</v>
      </c>
      <c r="C15" s="9">
        <f>IF(C10&lt;0,C10,0)</f>
        <v>-345554.56163761765</v>
      </c>
      <c r="D15" s="14" t="s">
        <v>3</v>
      </c>
      <c r="E15" s="1"/>
    </row>
    <row r="16" spans="1:5" x14ac:dyDescent="0.25">
      <c r="A16" s="1"/>
      <c r="B16" s="56" t="s">
        <v>185</v>
      </c>
      <c r="C16" s="9">
        <f>IF(SUM(C9)&gt;0,SUM(C9),0)</f>
        <v>0</v>
      </c>
      <c r="D16" s="14" t="s">
        <v>3</v>
      </c>
      <c r="E16" s="1"/>
    </row>
    <row r="17" spans="1:5" ht="26.25" x14ac:dyDescent="0.25">
      <c r="A17" s="1"/>
      <c r="B17" s="71" t="s">
        <v>179</v>
      </c>
      <c r="C17" s="62">
        <f>IF(SUM(C15:C16)&gt;0,0,SUM(C15:C16))</f>
        <v>-345554.56163761765</v>
      </c>
      <c r="D17" s="17" t="s">
        <v>3</v>
      </c>
      <c r="E17" s="1"/>
    </row>
    <row r="18" spans="1:5" x14ac:dyDescent="0.25">
      <c r="A18" s="1"/>
      <c r="B18" s="52"/>
      <c r="C18" s="53"/>
      <c r="D18" s="19"/>
      <c r="E18" s="1"/>
    </row>
    <row r="19" spans="1:5" x14ac:dyDescent="0.25">
      <c r="A19" s="1"/>
      <c r="B19" s="1"/>
      <c r="C19" s="1"/>
      <c r="D19" s="1"/>
      <c r="E19" s="1"/>
    </row>
    <row r="20" spans="1:5" x14ac:dyDescent="0.25">
      <c r="A20" s="1"/>
      <c r="B20" s="68" t="s">
        <v>180</v>
      </c>
      <c r="C20" s="69"/>
      <c r="D20" s="70"/>
      <c r="E20" s="1"/>
    </row>
    <row r="21" spans="1:5" x14ac:dyDescent="0.25">
      <c r="A21" s="1"/>
      <c r="B21" s="56" t="s">
        <v>181</v>
      </c>
      <c r="C21" s="9">
        <v>40291508.594909474</v>
      </c>
      <c r="D21" s="14" t="s">
        <v>3</v>
      </c>
      <c r="E21" s="1"/>
    </row>
    <row r="22" spans="1:5" x14ac:dyDescent="0.25">
      <c r="A22" s="1"/>
      <c r="B22" s="56" t="s">
        <v>182</v>
      </c>
      <c r="C22" s="9">
        <v>39885099.75</v>
      </c>
      <c r="D22" s="14" t="s">
        <v>3</v>
      </c>
      <c r="E22" s="1"/>
    </row>
    <row r="23" spans="1:5" x14ac:dyDescent="0.25">
      <c r="A23" s="1"/>
      <c r="B23" s="56" t="s">
        <v>28</v>
      </c>
      <c r="C23" s="9">
        <v>0</v>
      </c>
      <c r="D23" s="14" t="s">
        <v>3</v>
      </c>
      <c r="E23" s="1"/>
    </row>
    <row r="24" spans="1:5" x14ac:dyDescent="0.25">
      <c r="A24" s="1"/>
      <c r="B24" s="73" t="s">
        <v>183</v>
      </c>
      <c r="C24" s="46">
        <f>C21-C22-C23</f>
        <v>406408.84490947425</v>
      </c>
      <c r="D24" s="17" t="s">
        <v>3</v>
      </c>
      <c r="E24" s="1"/>
    </row>
    <row r="25" spans="1:5" x14ac:dyDescent="0.25">
      <c r="A25" s="1"/>
      <c r="B25" s="52"/>
      <c r="C25" s="53"/>
      <c r="D25" s="19"/>
      <c r="E25" s="1"/>
    </row>
    <row r="26" spans="1:5" x14ac:dyDescent="0.25">
      <c r="A26" s="1"/>
      <c r="B26" s="1"/>
      <c r="C26" s="1"/>
      <c r="D26" s="1"/>
      <c r="E26" s="1"/>
    </row>
    <row r="27" spans="1:5" x14ac:dyDescent="0.25">
      <c r="A27" s="1"/>
      <c r="B27" s="97" t="s">
        <v>184</v>
      </c>
      <c r="C27" s="98"/>
      <c r="D27" s="99"/>
      <c r="E27" s="1"/>
    </row>
    <row r="28" spans="1:5" x14ac:dyDescent="0.25">
      <c r="A28" s="1"/>
      <c r="B28" s="57" t="s">
        <v>65</v>
      </c>
      <c r="C28" s="9">
        <f>IF(C17&lt;0,IF(C24&lt;0,SUM(C17,C24),IF(C9&gt;0,SUM(C9:C10),C17)),IF(AND(C24&lt;0,SUM(C24,C10)&lt;0),IF(C10&lt;0,C24,IF(SUM(C9:C10)&gt;0,SUM(C24,C10),IF(AND(C24&lt;0,C17=0,C10&gt;0),IF(SUM(C9:C10)&gt;0,C24+C10,C24)))),IF(AND(SUM(C9:C10)&lt;0,C17=0,C24&lt;0),C24,0)))</f>
        <v>-345554.56163761765</v>
      </c>
      <c r="D28" s="14" t="s">
        <v>3</v>
      </c>
      <c r="E28" s="1"/>
    </row>
    <row r="29" spans="1:5" x14ac:dyDescent="0.25">
      <c r="A29" s="1"/>
      <c r="B29" s="57" t="s">
        <v>48</v>
      </c>
      <c r="C29" s="9">
        <v>2</v>
      </c>
      <c r="D29" s="14" t="s">
        <v>18</v>
      </c>
      <c r="E29" s="1"/>
    </row>
    <row r="30" spans="1:5" x14ac:dyDescent="0.25">
      <c r="A30" s="1"/>
      <c r="B30" s="58" t="s">
        <v>64</v>
      </c>
      <c r="C30" s="10">
        <f>C28/C29</f>
        <v>-172777.28081880882</v>
      </c>
      <c r="D30" s="17" t="s">
        <v>3</v>
      </c>
      <c r="E30" s="1"/>
    </row>
    <row r="31" spans="1:5" x14ac:dyDescent="0.25">
      <c r="A31" s="1"/>
      <c r="B31" s="109"/>
      <c r="C31" s="110"/>
      <c r="D31" s="11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Vw45b/Q+mRmGRy0yIXmmMFjjLsjQ07Q/wckDcKy3wUQAfqEwdOVwSoB24sELpm+ypQieHAoPn0bLjNdECzS7yg==" saltValue="j1J6gsy0QLfoFmnheaYMjA=="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5" t="s">
        <v>96</v>
      </c>
      <c r="C3" s="95"/>
      <c r="D3" s="95"/>
      <c r="E3" s="1"/>
    </row>
    <row r="4" spans="1:5" ht="15" customHeight="1" x14ac:dyDescent="0.25">
      <c r="A4" s="1"/>
      <c r="B4" s="95"/>
      <c r="C4" s="95"/>
      <c r="D4" s="95"/>
      <c r="E4" s="1"/>
    </row>
    <row r="5" spans="1:5" x14ac:dyDescent="0.25">
      <c r="A5" s="1"/>
      <c r="B5" s="95"/>
      <c r="C5" s="95"/>
      <c r="D5" s="95"/>
      <c r="E5" s="1"/>
    </row>
    <row r="6" spans="1:5" x14ac:dyDescent="0.25">
      <c r="A6" s="1"/>
      <c r="B6" s="1"/>
      <c r="C6" s="1"/>
      <c r="D6" s="1"/>
      <c r="E6" s="1"/>
    </row>
    <row r="7" spans="1:5" x14ac:dyDescent="0.25">
      <c r="A7" s="1"/>
      <c r="B7" s="1"/>
      <c r="C7" s="1"/>
      <c r="D7" s="1"/>
      <c r="E7" s="1"/>
    </row>
    <row r="8" spans="1:5" x14ac:dyDescent="0.25">
      <c r="A8" s="1"/>
      <c r="B8" s="97" t="s">
        <v>97</v>
      </c>
      <c r="C8" s="98"/>
      <c r="D8" s="99"/>
      <c r="E8" s="1"/>
    </row>
    <row r="9" spans="1:5" ht="15" customHeight="1" x14ac:dyDescent="0.25">
      <c r="A9" s="1"/>
      <c r="B9" s="112" t="s">
        <v>123</v>
      </c>
      <c r="C9" s="113"/>
      <c r="D9" s="114"/>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8"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6mXRnNXA8FD8Pce39dSl1c3Dzd1rqEBEqxsxBHYz/6L7blFQb+M6OTyatsEvzTJQgH/6l0fAJ6y6w4KyGyv6Wg==" saltValue="qyGCn90aAWgFMk2q35F7Qg=="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3" t="s">
        <v>90</v>
      </c>
      <c r="C3" s="93"/>
      <c r="D3" s="93"/>
      <c r="E3" s="93"/>
      <c r="F3" s="93"/>
      <c r="G3" s="93"/>
      <c r="H3" s="93"/>
      <c r="I3" s="93"/>
      <c r="J3" s="93"/>
      <c r="K3" s="93"/>
      <c r="L3" s="1"/>
    </row>
    <row r="4" spans="1:12" ht="15" customHeight="1" x14ac:dyDescent="0.25">
      <c r="A4" s="1"/>
      <c r="B4" s="93"/>
      <c r="C4" s="93"/>
      <c r="D4" s="93"/>
      <c r="E4" s="93"/>
      <c r="F4" s="93"/>
      <c r="G4" s="93"/>
      <c r="H4" s="93"/>
      <c r="I4" s="93"/>
      <c r="J4" s="93"/>
      <c r="K4" s="93"/>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7" t="s">
        <v>74</v>
      </c>
      <c r="C8" s="98"/>
      <c r="D8" s="98"/>
      <c r="E8" s="98"/>
      <c r="F8" s="98"/>
      <c r="G8" s="98"/>
      <c r="H8" s="98"/>
      <c r="I8" s="98"/>
      <c r="J8" s="98"/>
      <c r="K8" s="99"/>
      <c r="L8" s="1"/>
    </row>
    <row r="9" spans="1:12" ht="39.75" customHeight="1" x14ac:dyDescent="0.25">
      <c r="A9" s="1"/>
      <c r="B9" s="18" t="s">
        <v>0</v>
      </c>
      <c r="C9" s="18" t="s">
        <v>1</v>
      </c>
      <c r="D9" s="115" t="s">
        <v>83</v>
      </c>
      <c r="E9" s="116"/>
      <c r="F9" s="115" t="s">
        <v>2</v>
      </c>
      <c r="G9" s="116"/>
      <c r="H9" s="115" t="s">
        <v>84</v>
      </c>
      <c r="I9" s="116"/>
      <c r="J9" s="115" t="s">
        <v>25</v>
      </c>
      <c r="K9" s="116"/>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0"/>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ixdjCpzZoimcGyToQKsOayWQeHDTbfLS8C8SEtfl30T7YtwiD2z4XYNBnDCaXusYTMhlcPOZjRZUaOQkoUsiw==" saltValue="MX9/WIhkNHAFuiXwVpRPwQ=="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91</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1" t="s">
        <v>15</v>
      </c>
      <c r="C9" s="73" t="s">
        <v>10</v>
      </c>
      <c r="D9" s="72"/>
      <c r="E9" s="73"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204</v>
      </c>
      <c r="C11" s="21">
        <v>40722</v>
      </c>
      <c r="D11" s="14" t="s">
        <v>3</v>
      </c>
      <c r="E11" s="9">
        <v>5498.21</v>
      </c>
      <c r="F11" s="14" t="s">
        <v>3</v>
      </c>
      <c r="G11" s="1"/>
    </row>
    <row r="12" spans="1:7" x14ac:dyDescent="0.25">
      <c r="A12" s="1"/>
      <c r="B12" s="26"/>
      <c r="C12" s="21"/>
      <c r="D12" s="14" t="s">
        <v>3</v>
      </c>
      <c r="E12" s="9"/>
      <c r="F12" s="14" t="s">
        <v>3</v>
      </c>
      <c r="G12" s="1"/>
    </row>
    <row r="13" spans="1:7" x14ac:dyDescent="0.25">
      <c r="A13" s="1"/>
      <c r="B13" s="26"/>
      <c r="C13" s="21"/>
      <c r="D13" s="14" t="s">
        <v>3</v>
      </c>
      <c r="E13" s="9"/>
      <c r="F13" s="14" t="s">
        <v>3</v>
      </c>
      <c r="G13" s="1"/>
    </row>
    <row r="14" spans="1:7" x14ac:dyDescent="0.25">
      <c r="A14" s="1"/>
      <c r="B14" s="26"/>
      <c r="C14" s="21"/>
      <c r="D14" s="14" t="s">
        <v>3</v>
      </c>
      <c r="E14" s="9"/>
      <c r="F14" s="14" t="s">
        <v>3</v>
      </c>
      <c r="G14" s="1"/>
    </row>
    <row r="15" spans="1:7" x14ac:dyDescent="0.25">
      <c r="A15" s="1"/>
      <c r="B15" s="26"/>
      <c r="C15" s="21"/>
      <c r="D15" s="14" t="s">
        <v>3</v>
      </c>
      <c r="E15" s="9"/>
      <c r="F15" s="14" t="s">
        <v>3</v>
      </c>
      <c r="G15" s="1"/>
    </row>
    <row r="16" spans="1:7" x14ac:dyDescent="0.25">
      <c r="A16" s="1"/>
      <c r="B16" s="26"/>
      <c r="C16" s="21"/>
      <c r="D16" s="14" t="s">
        <v>3</v>
      </c>
      <c r="E16" s="9"/>
      <c r="F16" s="14" t="s">
        <v>3</v>
      </c>
      <c r="G16" s="1"/>
    </row>
    <row r="17" spans="1:7" x14ac:dyDescent="0.25">
      <c r="A17" s="1"/>
      <c r="B17" s="52" t="s">
        <v>112</v>
      </c>
      <c r="C17" s="12">
        <f>SUM(C10:C16)</f>
        <v>40722</v>
      </c>
      <c r="D17" s="13" t="s">
        <v>3</v>
      </c>
      <c r="E17" s="12">
        <f>SUM(E10:E16)</f>
        <v>5498.21</v>
      </c>
      <c r="F17" s="13" t="s">
        <v>3</v>
      </c>
      <c r="G17" s="1"/>
    </row>
    <row r="18" spans="1:7" x14ac:dyDescent="0.25">
      <c r="A18" s="1"/>
      <c r="B18" s="52" t="s">
        <v>147</v>
      </c>
      <c r="C18" s="12">
        <f>C17*(1+'Fane 13. Nøgletal'!C11)</f>
        <v>43421.868600000002</v>
      </c>
      <c r="D18" s="13" t="s">
        <v>3</v>
      </c>
      <c r="E18" s="12">
        <f>E17*(1+'Fane 13. Nøgletal'!C11)</f>
        <v>5862.7413230000002</v>
      </c>
      <c r="F18" s="13" t="s">
        <v>3</v>
      </c>
      <c r="G18" s="1"/>
    </row>
    <row r="19" spans="1:7" x14ac:dyDescent="0.25">
      <c r="A19" s="1"/>
      <c r="B19" s="1"/>
      <c r="C19" s="1" t="s">
        <v>82</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row r="52" spans="1:7" hidden="1" x14ac:dyDescent="0.25">
      <c r="A52" s="40"/>
      <c r="B52" s="40"/>
      <c r="C52" s="40"/>
      <c r="D52" s="40"/>
      <c r="E52" s="40"/>
      <c r="F52" s="40"/>
      <c r="G52" s="40"/>
    </row>
    <row r="53" spans="1:7" hidden="1" x14ac:dyDescent="0.25">
      <c r="A53" s="40"/>
      <c r="B53" s="40"/>
      <c r="C53" s="40"/>
      <c r="D53" s="40"/>
      <c r="E53" s="40"/>
      <c r="F53" s="40"/>
      <c r="G53" s="40"/>
    </row>
    <row r="54" spans="1:7" hidden="1" x14ac:dyDescent="0.25">
      <c r="A54" s="40"/>
      <c r="B54" s="40"/>
      <c r="C54" s="40"/>
      <c r="D54" s="40"/>
      <c r="E54" s="40"/>
      <c r="F54" s="40"/>
      <c r="G54" s="40"/>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sheetData>
  <sheetProtection algorithmName="SHA-512" hashValue="wwXjP2MNkoclCI8s1APAmXP0hLJyaWxN1nWwmOqEjVEq3BigW6ptMOFrYqKzWNBZTaM9RoJh1v2pBQF+5NQ2BA==" saltValue="JBvC/adU2DFcHy8as5aiF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3" t="s">
        <v>92</v>
      </c>
      <c r="C3" s="93"/>
      <c r="D3" s="93"/>
      <c r="E3" s="93"/>
      <c r="F3" s="93"/>
      <c r="G3" s="1"/>
    </row>
    <row r="4" spans="1:7" ht="15" customHeight="1" x14ac:dyDescent="0.25">
      <c r="A4" s="1"/>
      <c r="B4" s="93"/>
      <c r="C4" s="93"/>
      <c r="D4" s="93"/>
      <c r="E4" s="93"/>
      <c r="F4" s="93"/>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7" t="s">
        <v>150</v>
      </c>
      <c r="C8" s="98"/>
      <c r="D8" s="98"/>
      <c r="E8" s="98"/>
      <c r="F8" s="99"/>
      <c r="G8" s="1"/>
    </row>
    <row r="9" spans="1:7" x14ac:dyDescent="0.25">
      <c r="A9" s="1"/>
      <c r="B9" s="71" t="s">
        <v>15</v>
      </c>
      <c r="C9" s="73" t="s">
        <v>10</v>
      </c>
      <c r="D9" s="74"/>
      <c r="E9" s="73" t="s">
        <v>26</v>
      </c>
      <c r="F9" s="27"/>
      <c r="G9" s="1"/>
    </row>
    <row r="10" spans="1:7" x14ac:dyDescent="0.25">
      <c r="A10" s="1"/>
      <c r="B10" s="23" t="s">
        <v>205</v>
      </c>
      <c r="C10" s="21">
        <v>0</v>
      </c>
      <c r="D10" s="14" t="s">
        <v>3</v>
      </c>
      <c r="E10" s="9">
        <v>0</v>
      </c>
      <c r="F10" s="14" t="s">
        <v>3</v>
      </c>
      <c r="G10" s="1"/>
    </row>
    <row r="11" spans="1:7" x14ac:dyDescent="0.25">
      <c r="A11" s="1"/>
      <c r="B11" s="23"/>
      <c r="C11" s="21"/>
      <c r="D11" s="14" t="s">
        <v>3</v>
      </c>
      <c r="E11" s="9"/>
      <c r="F11" s="14" t="s">
        <v>3</v>
      </c>
      <c r="G11" s="1"/>
    </row>
    <row r="12" spans="1:7" x14ac:dyDescent="0.25">
      <c r="A12" s="1"/>
      <c r="B12" s="23"/>
      <c r="C12" s="21"/>
      <c r="D12" s="14" t="s">
        <v>3</v>
      </c>
      <c r="E12" s="9"/>
      <c r="F12" s="14" t="s">
        <v>3</v>
      </c>
      <c r="G12" s="1"/>
    </row>
    <row r="13" spans="1:7" x14ac:dyDescent="0.25">
      <c r="A13" s="1"/>
      <c r="B13" s="52" t="s">
        <v>148</v>
      </c>
      <c r="C13" s="12">
        <f>SUM(C10:C12)</f>
        <v>0</v>
      </c>
      <c r="D13" s="13" t="s">
        <v>3</v>
      </c>
      <c r="E13" s="12">
        <f>SUM(E10:E12)</f>
        <v>0</v>
      </c>
      <c r="F13" s="13" t="s">
        <v>3</v>
      </c>
      <c r="G13" s="1"/>
    </row>
    <row r="14" spans="1:7" x14ac:dyDescent="0.25">
      <c r="A14" s="1"/>
      <c r="B14" s="52" t="s">
        <v>149</v>
      </c>
      <c r="C14" s="12">
        <f>C13*(1+'Fane 13. Nøgletal'!$C$11)^2</f>
        <v>0</v>
      </c>
      <c r="D14" s="13" t="s">
        <v>3</v>
      </c>
      <c r="E14" s="12">
        <f>E13*(1+'Fane 13. Nøgletal'!$C$11)^2</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Werx8D9/jxnwaG0oLv3PKYgifIVVcaN5iYDiO/EFVlH0K7NGX3Uqz+3n1i+fI4iLgWQrqytG2D7LYSyU6MdOuA==" saltValue="5IA3Ozl1bqHt/6zVBauRrQ=="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93</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x14ac:dyDescent="0.25">
      <c r="A7" s="1"/>
      <c r="B7" s="1"/>
      <c r="C7" s="1"/>
      <c r="D7" s="1"/>
      <c r="E7" s="1"/>
      <c r="F7" s="1"/>
      <c r="G7" s="1"/>
    </row>
    <row r="8" spans="1:7" x14ac:dyDescent="0.25">
      <c r="A8" s="1"/>
      <c r="B8" s="97" t="s">
        <v>59</v>
      </c>
      <c r="C8" s="98"/>
      <c r="D8" s="98"/>
      <c r="E8" s="98"/>
      <c r="F8" s="99"/>
      <c r="G8" s="1"/>
    </row>
    <row r="9" spans="1:7" ht="15" customHeight="1" x14ac:dyDescent="0.25">
      <c r="A9" s="1"/>
      <c r="B9" s="54" t="s">
        <v>60</v>
      </c>
      <c r="C9" s="117" t="s">
        <v>10</v>
      </c>
      <c r="D9" s="118"/>
      <c r="E9" s="117" t="s">
        <v>26</v>
      </c>
      <c r="F9" s="118"/>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nuBzCLZVzsZGZkot7z5aqV00+AHi1PKqWm7o+4dcLuDhCZbbc4lAezA/0FIBcqv2NG1sbYuaruJ41cZc8TnGBw==" saltValue="ykGZs6JIJNKFaDkTr2QJi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5" t="s">
        <v>94</v>
      </c>
      <c r="C3" s="95"/>
      <c r="D3" s="95"/>
      <c r="E3" s="95"/>
      <c r="F3" s="95"/>
      <c r="G3" s="1"/>
    </row>
    <row r="4" spans="1:7" ht="15" customHeight="1" x14ac:dyDescent="0.25">
      <c r="A4" s="1"/>
      <c r="B4" s="95"/>
      <c r="C4" s="95"/>
      <c r="D4" s="95"/>
      <c r="E4" s="95"/>
      <c r="F4" s="95"/>
      <c r="G4" s="1"/>
    </row>
    <row r="5" spans="1:7" x14ac:dyDescent="0.25">
      <c r="A5" s="1"/>
      <c r="B5" s="95"/>
      <c r="C5" s="95"/>
      <c r="D5" s="95"/>
      <c r="E5" s="95"/>
      <c r="F5" s="95"/>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7" t="s">
        <v>152</v>
      </c>
      <c r="C8" s="98"/>
      <c r="D8" s="98"/>
      <c r="E8" s="98"/>
      <c r="F8" s="99"/>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CcFscKrQqQYkxawQp6ym3Pl6iYNBSsMZAeqBh4AJvyWfqeR/9rtaPKgflpuJlRU9LN8JY4sv7Z5bysm6Tt5uUA==" saltValue="LyEQPQQBBN0Fiyjwzh5jYQ=="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5" t="s">
        <v>95</v>
      </c>
      <c r="C3" s="95"/>
      <c r="D3" s="1"/>
    </row>
    <row r="4" spans="1:4" ht="15" customHeight="1" x14ac:dyDescent="0.25">
      <c r="A4" s="1"/>
      <c r="B4" s="95"/>
      <c r="C4" s="95"/>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196</v>
      </c>
      <c r="C11" s="49">
        <v>6.6299999999999998E-2</v>
      </c>
      <c r="D11" s="1"/>
    </row>
    <row r="12" spans="1:4" x14ac:dyDescent="0.25">
      <c r="A12" s="1"/>
      <c r="B12" s="97"/>
      <c r="C12" s="99"/>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197</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YML2jcTCl1MX9zpD1mRhrpBaEnlOl5d+VP1yDRSuABwNVwZx5zaGmomkLXghZHbPww5TOekrifm1CCjs6TI+mw==" saltValue="LaGLsy54Uv52sYpHBcgmeA=="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128</v>
      </c>
      <c r="C3" s="93"/>
      <c r="D3" s="93"/>
      <c r="E3" s="1"/>
    </row>
    <row r="4" spans="1:5" ht="15" customHeight="1" x14ac:dyDescent="0.25">
      <c r="A4" s="1"/>
      <c r="B4" s="93"/>
      <c r="C4" s="93"/>
      <c r="D4" s="93"/>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23311070.954340842</v>
      </c>
      <c r="D9" s="8" t="s">
        <v>3</v>
      </c>
      <c r="E9" s="1"/>
    </row>
    <row r="10" spans="1:5" ht="17.100000000000001" customHeight="1" x14ac:dyDescent="0.25">
      <c r="A10" s="1"/>
      <c r="B10" s="24" t="s">
        <v>32</v>
      </c>
      <c r="C10" s="7">
        <f>'Fane 10.1. Varige tillæg'!C18</f>
        <v>43421.868600000002</v>
      </c>
      <c r="D10" s="8" t="s">
        <v>3</v>
      </c>
      <c r="E10" s="1"/>
    </row>
    <row r="11" spans="1:5" ht="17.100000000000001" customHeight="1" x14ac:dyDescent="0.25">
      <c r="A11" s="1"/>
      <c r="B11" s="24" t="s">
        <v>33</v>
      </c>
      <c r="C11" s="9">
        <f>'Fane 10.1. Varige tillæg'!E18</f>
        <v>5862.7413230000002</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1548791.5739106927</v>
      </c>
      <c r="D16" s="8" t="s">
        <v>3</v>
      </c>
      <c r="E16" s="1"/>
    </row>
    <row r="17" spans="1:5" ht="17.100000000000001" customHeight="1" x14ac:dyDescent="0.25">
      <c r="A17" s="1"/>
      <c r="B17" s="24" t="s">
        <v>9</v>
      </c>
      <c r="C17" s="9">
        <f>-SUM(C9:C16)*'Fane 5. Individuelt eff. krav'!C9</f>
        <v>0</v>
      </c>
      <c r="D17" s="8" t="s">
        <v>3</v>
      </c>
      <c r="E17" s="1"/>
    </row>
    <row r="18" spans="1:5" ht="17.100000000000001" customHeight="1" x14ac:dyDescent="0.25">
      <c r="A18" s="1"/>
      <c r="B18" s="24" t="s">
        <v>21</v>
      </c>
      <c r="C18" s="9">
        <f>-'Fane 4.1. Gen. krav - drift'!C17</f>
        <v>-247155.19219716173</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3" t="s">
        <v>19</v>
      </c>
      <c r="C20" s="10">
        <f>SUM(C9:C19)</f>
        <v>24661991.945977371</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17830134.463459238</v>
      </c>
      <c r="D22" s="11" t="s">
        <v>3</v>
      </c>
      <c r="E22" s="1"/>
    </row>
    <row r="23" spans="1:5" ht="15" customHeight="1" x14ac:dyDescent="0.25">
      <c r="A23" s="1"/>
      <c r="B23" s="52" t="s">
        <v>39</v>
      </c>
      <c r="C23" s="53"/>
      <c r="D23" s="19"/>
      <c r="E23" s="1"/>
    </row>
    <row r="24" spans="1:5" ht="15" customHeight="1" x14ac:dyDescent="0.25">
      <c r="A24" s="1"/>
      <c r="B24" s="24" t="s">
        <v>35</v>
      </c>
      <c r="C24" s="9">
        <f>'Fane 10.2. Engangstillæg'!C14</f>
        <v>0</v>
      </c>
      <c r="D24" s="8" t="s">
        <v>3</v>
      </c>
      <c r="E24" s="1"/>
    </row>
    <row r="25" spans="1:5" ht="15" customHeight="1" x14ac:dyDescent="0.25">
      <c r="A25" s="1"/>
      <c r="B25" s="24" t="s">
        <v>36</v>
      </c>
      <c r="C25" s="9">
        <f>'Fane 10.2. Engangstillæg'!E14</f>
        <v>0</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0</v>
      </c>
      <c r="D27" s="8" t="s">
        <v>3</v>
      </c>
      <c r="E27" s="1"/>
    </row>
    <row r="28" spans="1:5" x14ac:dyDescent="0.25">
      <c r="A28" s="1"/>
      <c r="B28" s="73" t="s">
        <v>40</v>
      </c>
      <c r="C28" s="50">
        <f>SUM(C24:C27)</f>
        <v>0</v>
      </c>
      <c r="D28" s="11" t="s">
        <v>3</v>
      </c>
      <c r="E28" s="1"/>
    </row>
    <row r="29" spans="1:5" ht="15" customHeight="1" x14ac:dyDescent="0.25">
      <c r="A29" s="1"/>
      <c r="B29" s="25" t="s">
        <v>65</v>
      </c>
      <c r="C29" s="53"/>
      <c r="D29" s="19"/>
      <c r="E29" s="1"/>
    </row>
    <row r="30" spans="1:5" x14ac:dyDescent="0.25">
      <c r="A30" s="1"/>
      <c r="B30" s="58" t="s">
        <v>66</v>
      </c>
      <c r="C30" s="10">
        <f>'Fane 7. Kontrol af ØR2023'!C30</f>
        <v>-172777.28081880882</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52" t="s">
        <v>69</v>
      </c>
      <c r="C33" s="29">
        <f>SUM(C20,C22,C28,C30,C32)</f>
        <v>42319349.128617808</v>
      </c>
      <c r="D33" s="19" t="s">
        <v>3</v>
      </c>
      <c r="E33" s="1"/>
    </row>
    <row r="34" spans="1:5" x14ac:dyDescent="0.25">
      <c r="A34" s="1"/>
      <c r="B34" s="1" t="s">
        <v>82</v>
      </c>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Iefrs8/GPyxSJXhrMeUbIQ3AcCUF1JqY+7ShH3mUsqMUWO5BlLwv6XmxtN46NwmbSkn8gefZrVeF34floQnJw==" saltValue="DYvgZ0sTOy5ApAZFH99tp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129</v>
      </c>
      <c r="C3" s="93"/>
      <c r="D3" s="93"/>
      <c r="E3" s="1"/>
    </row>
    <row r="4" spans="1:5" ht="15" customHeight="1" x14ac:dyDescent="0.25">
      <c r="A4" s="1"/>
      <c r="B4" s="93"/>
      <c r="C4" s="93"/>
      <c r="D4" s="93"/>
      <c r="E4" s="1"/>
    </row>
    <row r="5" spans="1:5" x14ac:dyDescent="0.25">
      <c r="A5" s="1"/>
      <c r="B5" s="94"/>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24661991.945977371</v>
      </c>
      <c r="D9" s="8" t="s">
        <v>3</v>
      </c>
      <c r="E9" s="1"/>
    </row>
    <row r="10" spans="1:5" ht="15" customHeight="1" x14ac:dyDescent="0.25">
      <c r="A10" s="1"/>
      <c r="B10" s="47" t="s">
        <v>17</v>
      </c>
      <c r="C10" s="41">
        <f>C9*'Fane 13. Nøgletal'!C11</f>
        <v>1635090.0660182997</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drift'!C22</f>
        <v>-258270.74981103692</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26038811.262184631</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19012272.378386587</v>
      </c>
      <c r="D16" s="11" t="s">
        <v>3</v>
      </c>
      <c r="E16" s="1"/>
    </row>
    <row r="17" spans="1:5" x14ac:dyDescent="0.25">
      <c r="A17" s="1"/>
      <c r="B17" s="25" t="s">
        <v>65</v>
      </c>
      <c r="C17" s="53"/>
      <c r="D17" s="19"/>
      <c r="E17" s="1"/>
    </row>
    <row r="18" spans="1:5" ht="15" customHeight="1" x14ac:dyDescent="0.25">
      <c r="A18" s="1"/>
      <c r="B18" s="45" t="s">
        <v>66</v>
      </c>
      <c r="C18" s="10">
        <f>'Fane 7. Kontrol af ØR2023'!C30</f>
        <v>-172777.28081880882</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44878306.359752417</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5VfoH7nsQrtVDSB99GBwwNGUwIsWjM/yT1wc3s7B8U5u/BUtIzb1sPZEM7T+1NB+KkBDCir231Gg75blRz45pA==" saltValue="D5q+n+3ekcQJ1DtwDu2Pc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130</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26038811.262184631</v>
      </c>
      <c r="D9" s="8" t="s">
        <v>3</v>
      </c>
      <c r="E9" s="1"/>
    </row>
    <row r="10" spans="1:5" ht="15" customHeight="1" x14ac:dyDescent="0.25">
      <c r="A10" s="1"/>
      <c r="B10" s="47" t="s">
        <v>17</v>
      </c>
      <c r="C10" s="41">
        <f>C9*'Fane 13. Nøgletal'!C11</f>
        <v>1726373.186682841</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drift'!C27</f>
        <v>-269886.21851303848</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27495298.230354436</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20272786.037073616</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47768084.267428055</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43QIPheYBw5CCjJe1dKjo8xLIcbkoC+gTOEXKsHN0uCbR5g0ebdCJbNaqt/foVwZQGdtigMeAsFkknucYyFQ==" saltValue="eFovPdSVpxzhVl5d2USkb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3" t="s">
        <v>131</v>
      </c>
      <c r="C3" s="93"/>
      <c r="D3" s="93"/>
      <c r="E3" s="1"/>
    </row>
    <row r="4" spans="1:5" ht="15" customHeight="1" x14ac:dyDescent="0.25">
      <c r="A4" s="1"/>
      <c r="B4" s="93"/>
      <c r="C4" s="93"/>
      <c r="D4" s="93"/>
      <c r="E4" s="1"/>
    </row>
    <row r="5" spans="1:5" x14ac:dyDescent="0.25">
      <c r="A5" s="1"/>
      <c r="B5" s="94" t="s">
        <v>20</v>
      </c>
      <c r="C5" s="94"/>
      <c r="D5" s="94"/>
      <c r="E5" s="1"/>
    </row>
    <row r="6" spans="1:5" x14ac:dyDescent="0.25">
      <c r="A6" s="1"/>
      <c r="B6" s="66"/>
      <c r="C6" s="66"/>
      <c r="D6" s="66"/>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27495298.230354436</v>
      </c>
      <c r="D9" s="8" t="s">
        <v>3</v>
      </c>
      <c r="E9" s="1"/>
    </row>
    <row r="10" spans="1:5" ht="15" customHeight="1" x14ac:dyDescent="0.25">
      <c r="A10" s="1"/>
      <c r="B10" s="47" t="s">
        <v>17</v>
      </c>
      <c r="C10" s="9">
        <f>C9*'Fane 13. Nøgletal'!C11</f>
        <v>1822938.2726724991</v>
      </c>
      <c r="D10" s="8" t="s">
        <v>3</v>
      </c>
      <c r="E10" s="1"/>
    </row>
    <row r="11" spans="1:5" ht="15" customHeight="1" x14ac:dyDescent="0.25">
      <c r="A11" s="1"/>
      <c r="B11" s="47" t="s">
        <v>9</v>
      </c>
      <c r="C11" s="9">
        <f>-SUM(C9:C10)*'Fane 5. Individuelt eff. krav'!C9</f>
        <v>0</v>
      </c>
      <c r="D11" s="8" t="s">
        <v>3</v>
      </c>
      <c r="E11" s="1"/>
    </row>
    <row r="12" spans="1:5" ht="15" customHeight="1" x14ac:dyDescent="0.25">
      <c r="A12" s="1"/>
      <c r="B12" s="47" t="s">
        <v>21</v>
      </c>
      <c r="C12" s="9">
        <f>-'Fane 4.1. Gen. krav - drift'!C32</f>
        <v>-282024.08130444388</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29036212.421722494</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21616871.751331598</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50653084.173054092</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ISG0LdqDl0ynuz/jCK7XiQewpr6LlI00RGZbpMWqAUKUW61yzqYS44sABBged9+U/q3fvEmRyYX2SQWgvdeFug==" saltValue="e4c9p/WLuZYwDE9fpecEH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5" t="s">
        <v>134</v>
      </c>
      <c r="C3" s="95"/>
      <c r="D3" s="95"/>
      <c r="E3" s="1"/>
    </row>
    <row r="4" spans="1:5" ht="15" customHeight="1" x14ac:dyDescent="0.25">
      <c r="A4" s="1"/>
      <c r="B4" s="95"/>
      <c r="C4" s="95"/>
      <c r="D4" s="95"/>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22835691.261587918</v>
      </c>
      <c r="D9" s="8" t="s">
        <v>3</v>
      </c>
      <c r="E9" s="1"/>
    </row>
    <row r="10" spans="1:5" x14ac:dyDescent="0.25">
      <c r="A10" s="1"/>
      <c r="B10" s="24" t="s">
        <v>32</v>
      </c>
      <c r="C10" s="7">
        <v>28346.141599999999</v>
      </c>
      <c r="D10" s="8" t="s">
        <v>3</v>
      </c>
      <c r="E10" s="1"/>
    </row>
    <row r="11" spans="1:5" ht="15" customHeight="1" x14ac:dyDescent="0.25">
      <c r="A11" s="1"/>
      <c r="B11" s="24" t="s">
        <v>33</v>
      </c>
      <c r="C11" s="9">
        <v>104524.91375199998</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823686.59018497146</v>
      </c>
      <c r="D16" s="8" t="s">
        <v>3</v>
      </c>
      <c r="E16" s="1"/>
    </row>
    <row r="17" spans="1:5" x14ac:dyDescent="0.25">
      <c r="A17" s="1"/>
      <c r="B17" s="24" t="s">
        <v>9</v>
      </c>
      <c r="C17" s="9">
        <v>-245546.08306538078</v>
      </c>
      <c r="D17" s="8" t="s">
        <v>3</v>
      </c>
      <c r="E17" s="1"/>
    </row>
    <row r="18" spans="1:5" x14ac:dyDescent="0.25">
      <c r="A18" s="1"/>
      <c r="B18" s="24" t="s">
        <v>21</v>
      </c>
      <c r="C18" s="9">
        <v>-235631.86971867058</v>
      </c>
      <c r="D18" s="8" t="s">
        <v>3</v>
      </c>
      <c r="E18" s="1"/>
    </row>
    <row r="19" spans="1:5" x14ac:dyDescent="0.25">
      <c r="A19" s="1"/>
      <c r="B19" s="24" t="s">
        <v>22</v>
      </c>
      <c r="C19" s="9">
        <v>0</v>
      </c>
      <c r="D19" s="8" t="s">
        <v>3</v>
      </c>
      <c r="E19" s="1"/>
    </row>
    <row r="20" spans="1:5" x14ac:dyDescent="0.25">
      <c r="A20" s="1"/>
      <c r="B20" s="73" t="s">
        <v>19</v>
      </c>
      <c r="C20" s="10">
        <v>23311070.954340842</v>
      </c>
      <c r="D20" s="11" t="s">
        <v>3</v>
      </c>
      <c r="E20" s="1"/>
    </row>
    <row r="21" spans="1:5" x14ac:dyDescent="0.25">
      <c r="A21" s="1"/>
      <c r="B21" s="52" t="s">
        <v>11</v>
      </c>
      <c r="C21" s="53"/>
      <c r="D21" s="19"/>
      <c r="E21" s="1"/>
    </row>
    <row r="22" spans="1:5" x14ac:dyDescent="0.25">
      <c r="A22" s="1"/>
      <c r="B22" s="54" t="s">
        <v>11</v>
      </c>
      <c r="C22" s="10">
        <v>17887667.359698661</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3" t="s">
        <v>40</v>
      </c>
      <c r="C28" s="50">
        <v>0</v>
      </c>
      <c r="D28" s="11" t="s">
        <v>3</v>
      </c>
      <c r="E28" s="1"/>
    </row>
    <row r="29" spans="1:5" x14ac:dyDescent="0.25">
      <c r="A29" s="1"/>
      <c r="B29" s="25" t="s">
        <v>65</v>
      </c>
      <c r="C29" s="53"/>
      <c r="D29" s="19"/>
      <c r="E29" s="1"/>
    </row>
    <row r="30" spans="1:5" x14ac:dyDescent="0.25">
      <c r="A30" s="1"/>
      <c r="B30" s="58" t="s">
        <v>66</v>
      </c>
      <c r="C30" s="10">
        <v>-207960</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25" t="s">
        <v>193</v>
      </c>
      <c r="C33" s="53"/>
      <c r="D33" s="19"/>
      <c r="E33" s="1"/>
    </row>
    <row r="34" spans="1:5" ht="15.6" customHeight="1" x14ac:dyDescent="0.25">
      <c r="A34" s="1"/>
      <c r="B34" s="58" t="s">
        <v>194</v>
      </c>
      <c r="C34" s="10">
        <v>705187.07520670595</v>
      </c>
      <c r="D34" s="11" t="s">
        <v>3</v>
      </c>
      <c r="E34" s="1"/>
    </row>
    <row r="35" spans="1:5" ht="15.6" customHeight="1" x14ac:dyDescent="0.25">
      <c r="A35" s="1"/>
      <c r="B35" s="52" t="s">
        <v>67</v>
      </c>
      <c r="C35" s="29">
        <v>41695965.389246203</v>
      </c>
      <c r="D35" s="19" t="s">
        <v>3</v>
      </c>
      <c r="E35" s="1"/>
    </row>
    <row r="36" spans="1:5" ht="30" customHeight="1" x14ac:dyDescent="0.25">
      <c r="A36" s="1"/>
      <c r="B36" s="96" t="s">
        <v>195</v>
      </c>
      <c r="C36" s="96"/>
      <c r="D36" s="96"/>
      <c r="E36" s="1"/>
    </row>
    <row r="37" spans="1:5" ht="27.75" customHeight="1"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row r="51" spans="1:5" hidden="1" x14ac:dyDescent="0.25"/>
    <row r="52" spans="1:5" hidden="1" x14ac:dyDescent="0.25"/>
  </sheetData>
  <sheetProtection algorithmName="SHA-512" hashValue="9MZ4D6LiN42o4O8SSZBLCvhmBi9dB4pwn9eSZpfRiPU4s4GWahnUbMxrMt6CZMkRw09uyU4XbLyTMcqASy4ajg==" saltValue="OFbEN1Empc+q91qrLKJbVQ=="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5" t="s">
        <v>53</v>
      </c>
      <c r="C3" s="95"/>
      <c r="D3" s="95"/>
      <c r="E3" s="1"/>
    </row>
    <row r="4" spans="1:5" ht="15" customHeight="1" x14ac:dyDescent="0.25">
      <c r="A4" s="1"/>
      <c r="B4" s="95"/>
      <c r="C4" s="95"/>
      <c r="D4" s="95"/>
      <c r="E4" s="1"/>
    </row>
    <row r="5" spans="1:5" ht="15" customHeight="1" x14ac:dyDescent="0.25">
      <c r="A5" s="1"/>
      <c r="B5" s="95"/>
      <c r="C5" s="95"/>
      <c r="D5" s="95"/>
      <c r="E5" s="1"/>
    </row>
    <row r="6" spans="1:5" ht="15" customHeight="1" x14ac:dyDescent="0.25">
      <c r="A6" s="1"/>
      <c r="B6" s="67"/>
      <c r="C6" s="67"/>
      <c r="D6" s="67"/>
      <c r="E6" s="1"/>
    </row>
    <row r="7" spans="1:5" x14ac:dyDescent="0.25">
      <c r="A7" s="1"/>
      <c r="B7" s="1"/>
      <c r="C7" s="32"/>
      <c r="D7" s="1"/>
      <c r="E7" s="1"/>
    </row>
    <row r="8" spans="1:5" x14ac:dyDescent="0.25">
      <c r="A8" s="1"/>
      <c r="B8" s="97" t="s">
        <v>75</v>
      </c>
      <c r="C8" s="98"/>
      <c r="D8" s="99"/>
      <c r="E8" s="1"/>
    </row>
    <row r="9" spans="1:5" x14ac:dyDescent="0.25">
      <c r="A9" s="1"/>
      <c r="B9" s="56" t="s">
        <v>167</v>
      </c>
      <c r="C9" s="22">
        <v>11750956.976092251</v>
      </c>
      <c r="D9" s="14" t="s">
        <v>3</v>
      </c>
      <c r="E9" s="1"/>
    </row>
    <row r="10" spans="1:5" x14ac:dyDescent="0.25">
      <c r="A10" s="1"/>
      <c r="B10" s="56" t="s">
        <v>110</v>
      </c>
      <c r="C10" s="22">
        <f>('Fane 3. Omkostninger i ØR2024'!C10+'Fane 3. Omkostninger i ØR2024'!C12+'Fane 3. Omkostninger i ØR2024'!C14)*(1+'Fane 13. Nøgletal'!C10)</f>
        <v>30636.50984128</v>
      </c>
      <c r="D10" s="14" t="s">
        <v>3</v>
      </c>
      <c r="E10" s="1"/>
    </row>
    <row r="11" spans="1:5" x14ac:dyDescent="0.25">
      <c r="A11" s="1"/>
      <c r="B11" s="56" t="s">
        <v>81</v>
      </c>
      <c r="C11" s="22">
        <f>C9*'Fane 13. Nøgletal'!C23+C10*'Fane 13. Nøgletal'!C23</f>
        <v>235631.86971867064</v>
      </c>
      <c r="D11" s="14" t="s">
        <v>3</v>
      </c>
      <c r="E11" s="1"/>
    </row>
    <row r="12" spans="1:5" x14ac:dyDescent="0.25">
      <c r="A12" s="1"/>
      <c r="B12" s="52"/>
      <c r="C12" s="31"/>
      <c r="D12" s="19"/>
      <c r="E12" s="1"/>
    </row>
    <row r="13" spans="1:5" x14ac:dyDescent="0.25">
      <c r="A13" s="1"/>
      <c r="B13" s="1"/>
      <c r="C13" s="32"/>
      <c r="D13" s="1"/>
      <c r="E13" s="1"/>
    </row>
    <row r="14" spans="1:5" x14ac:dyDescent="0.25">
      <c r="A14" s="1"/>
      <c r="B14" s="97" t="s">
        <v>153</v>
      </c>
      <c r="C14" s="98"/>
      <c r="D14" s="99"/>
      <c r="E14" s="1"/>
    </row>
    <row r="15" spans="1:5" x14ac:dyDescent="0.25">
      <c r="A15" s="1"/>
      <c r="B15" s="56" t="s">
        <v>168</v>
      </c>
      <c r="C15" s="22">
        <f>(C9+C10-C11)*(1+'Fane 13. Nøgletal'!C11)</f>
        <v>12311458.871369906</v>
      </c>
      <c r="D15" s="14" t="s">
        <v>3</v>
      </c>
      <c r="E15" s="1"/>
    </row>
    <row r="16" spans="1:5" x14ac:dyDescent="0.25">
      <c r="A16" s="1"/>
      <c r="B16" s="56" t="s">
        <v>154</v>
      </c>
      <c r="C16" s="22">
        <f>('Fane 2.1. Økonomisk ramme 2025'!C10+'Fane 2.1. Økonomisk ramme 2025'!C12+'Fane 2.1. Økonomisk ramme 2025'!C14)*(1+'Fane 13. Nøgletal'!C11)</f>
        <v>46300.738488180003</v>
      </c>
      <c r="D16" s="14" t="s">
        <v>3</v>
      </c>
      <c r="E16" s="1"/>
    </row>
    <row r="17" spans="1:5" x14ac:dyDescent="0.25">
      <c r="A17" s="1"/>
      <c r="B17" s="56" t="s">
        <v>155</v>
      </c>
      <c r="C17" s="22">
        <f>(C15+C16)*'Fane 13. Nøgletal'!C23</f>
        <v>247155.19219716173</v>
      </c>
      <c r="D17" s="14" t="s">
        <v>3</v>
      </c>
      <c r="E17" s="1"/>
    </row>
    <row r="18" spans="1:5" x14ac:dyDescent="0.25">
      <c r="A18" s="1"/>
      <c r="B18" s="52"/>
      <c r="C18" s="31"/>
      <c r="D18" s="19"/>
      <c r="E18" s="1"/>
    </row>
    <row r="19" spans="1:5" x14ac:dyDescent="0.25">
      <c r="A19" s="1"/>
      <c r="B19" s="1"/>
      <c r="C19" s="32"/>
      <c r="D19" s="1"/>
      <c r="E19" s="1"/>
    </row>
    <row r="20" spans="1:5" x14ac:dyDescent="0.25">
      <c r="A20" s="1"/>
      <c r="B20" s="97" t="s">
        <v>170</v>
      </c>
      <c r="C20" s="98"/>
      <c r="D20" s="99"/>
      <c r="E20" s="1"/>
    </row>
    <row r="21" spans="1:5" x14ac:dyDescent="0.25">
      <c r="A21" s="1"/>
      <c r="B21" s="56" t="s">
        <v>169</v>
      </c>
      <c r="C21" s="48">
        <f>(C15+C16-C17)*(1+'Fane 13. Nøgletal'!C11)</f>
        <v>12913537.490551846</v>
      </c>
      <c r="D21" s="14" t="s">
        <v>3</v>
      </c>
      <c r="E21" s="1"/>
    </row>
    <row r="22" spans="1:5" x14ac:dyDescent="0.25">
      <c r="A22" s="1"/>
      <c r="B22" s="56" t="s">
        <v>171</v>
      </c>
      <c r="C22" s="48">
        <f>(C21)*'Fane 13. Nøgletal'!C23</f>
        <v>258270.74981103692</v>
      </c>
      <c r="D22" s="14" t="s">
        <v>3</v>
      </c>
      <c r="E22" s="1"/>
    </row>
    <row r="23" spans="1:5" x14ac:dyDescent="0.25">
      <c r="A23" s="1"/>
      <c r="B23" s="52"/>
      <c r="C23" s="31"/>
      <c r="D23" s="19"/>
      <c r="E23" s="1"/>
    </row>
    <row r="24" spans="1:5" x14ac:dyDescent="0.25">
      <c r="A24" s="1"/>
      <c r="B24" s="1"/>
      <c r="C24" s="32"/>
      <c r="D24" s="1"/>
      <c r="E24" s="1"/>
    </row>
    <row r="25" spans="1:5" x14ac:dyDescent="0.25">
      <c r="A25" s="1"/>
      <c r="B25" s="97" t="s">
        <v>116</v>
      </c>
      <c r="C25" s="98"/>
      <c r="D25" s="99"/>
      <c r="E25" s="1"/>
    </row>
    <row r="26" spans="1:5" x14ac:dyDescent="0.25">
      <c r="A26" s="1"/>
      <c r="B26" s="56" t="s">
        <v>117</v>
      </c>
      <c r="C26" s="48">
        <f>(C21-C22)*(1+'Fane 13. Nøgletal'!C11)</f>
        <v>13494310.925651925</v>
      </c>
      <c r="D26" s="14" t="s">
        <v>3</v>
      </c>
      <c r="E26" s="1"/>
    </row>
    <row r="27" spans="1:5" x14ac:dyDescent="0.25">
      <c r="A27" s="1"/>
      <c r="B27" s="56" t="s">
        <v>118</v>
      </c>
      <c r="C27" s="48">
        <f>(C26)*'Fane 13. Nøgletal'!C23</f>
        <v>269886.21851303848</v>
      </c>
      <c r="D27" s="14" t="s">
        <v>3</v>
      </c>
      <c r="E27" s="1"/>
    </row>
    <row r="28" spans="1:5" x14ac:dyDescent="0.25">
      <c r="A28" s="1"/>
      <c r="B28" s="52"/>
      <c r="C28" s="42"/>
      <c r="D28" s="19"/>
      <c r="E28" s="1"/>
    </row>
    <row r="29" spans="1:5" x14ac:dyDescent="0.25">
      <c r="A29" s="1"/>
      <c r="B29" s="1"/>
      <c r="C29" s="32"/>
      <c r="D29" s="1"/>
      <c r="E29" s="1"/>
    </row>
    <row r="30" spans="1:5" x14ac:dyDescent="0.25">
      <c r="A30" s="1"/>
      <c r="B30" s="97" t="s">
        <v>136</v>
      </c>
      <c r="C30" s="98"/>
      <c r="D30" s="99"/>
      <c r="E30" s="1"/>
    </row>
    <row r="31" spans="1:5" x14ac:dyDescent="0.25">
      <c r="A31" s="1"/>
      <c r="B31" s="56" t="s">
        <v>137</v>
      </c>
      <c r="C31" s="48">
        <f>(C26-C27)*(1+'Fane 13. Nøgletal'!C11)</f>
        <v>14101204.065222194</v>
      </c>
      <c r="D31" s="14" t="s">
        <v>3</v>
      </c>
      <c r="E31" s="1"/>
    </row>
    <row r="32" spans="1:5" x14ac:dyDescent="0.25">
      <c r="A32" s="1"/>
      <c r="B32" s="56" t="s">
        <v>138</v>
      </c>
      <c r="C32" s="48">
        <f>(C31)*'Fane 13. Nøgletal'!C23</f>
        <v>282024.08130444388</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zRkchCdHxiXF3ci7vsnJCi1Uxcqe2ZZ68GWw0DNTLxGuyTHMilPhNQdYXZz4Yb8dezUfGET+z1yhlf0gPSe+JQ==" saltValue="y4EgXsvwqaDspTly2RJ16g=="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0" t="s">
        <v>54</v>
      </c>
      <c r="C3" s="101"/>
      <c r="D3" s="101"/>
      <c r="E3" s="1"/>
    </row>
    <row r="4" spans="1:5" ht="15" customHeight="1" x14ac:dyDescent="0.25">
      <c r="A4" s="1"/>
      <c r="B4" s="101"/>
      <c r="C4" s="101"/>
      <c r="D4" s="101"/>
      <c r="E4" s="1"/>
    </row>
    <row r="5" spans="1:5" ht="15" customHeight="1" x14ac:dyDescent="0.25">
      <c r="A5" s="1"/>
      <c r="B5" s="101"/>
      <c r="C5" s="101"/>
      <c r="D5" s="101"/>
      <c r="E5" s="1"/>
    </row>
    <row r="6" spans="1:5" ht="15" customHeight="1" x14ac:dyDescent="0.25">
      <c r="A6" s="1"/>
      <c r="B6" s="1"/>
      <c r="C6" s="1"/>
      <c r="D6" s="1"/>
      <c r="E6" s="1"/>
    </row>
    <row r="7" spans="1:5" ht="15" customHeight="1" x14ac:dyDescent="0.25">
      <c r="A7" s="1"/>
      <c r="B7" s="1"/>
      <c r="C7" s="1"/>
      <c r="D7" s="1"/>
      <c r="E7" s="1"/>
    </row>
    <row r="8" spans="1:5" x14ac:dyDescent="0.25">
      <c r="A8" s="1"/>
      <c r="B8" s="97" t="s">
        <v>76</v>
      </c>
      <c r="C8" s="98"/>
      <c r="D8" s="99"/>
      <c r="E8" s="1"/>
    </row>
    <row r="9" spans="1:5" x14ac:dyDescent="0.25">
      <c r="A9" s="1"/>
      <c r="B9" s="56" t="s">
        <v>162</v>
      </c>
      <c r="C9" s="48">
        <v>14477439.507583812</v>
      </c>
      <c r="D9" s="14" t="s">
        <v>3</v>
      </c>
      <c r="E9" s="1"/>
    </row>
    <row r="10" spans="1:5" x14ac:dyDescent="0.25">
      <c r="A10" s="1"/>
      <c r="B10" s="56" t="s">
        <v>113</v>
      </c>
      <c r="C10" s="48">
        <f>('Fane 3. Omkostninger i ØR2024'!C11+'Fane 3. Omkostninger i ØR2024'!C13+'Fane 3. Omkostninger i ØR2024'!C15)*(1+'Fane 13. Nøgletal'!C10)</f>
        <v>112970.52678316158</v>
      </c>
      <c r="D10" s="14" t="s">
        <v>3</v>
      </c>
      <c r="E10" s="1"/>
    </row>
    <row r="11" spans="1:5" x14ac:dyDescent="0.25">
      <c r="A11" s="1"/>
      <c r="B11" s="56" t="s">
        <v>114</v>
      </c>
      <c r="C11" s="48">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7" t="s">
        <v>156</v>
      </c>
      <c r="C14" s="98"/>
      <c r="D14" s="99"/>
      <c r="E14" s="1"/>
    </row>
    <row r="15" spans="1:5" x14ac:dyDescent="0.25">
      <c r="A15" s="1"/>
      <c r="B15" s="56" t="s">
        <v>163</v>
      </c>
      <c r="C15" s="48">
        <f>(C9+C10-C11)*(1+'Fane 13. Nøgletal'!C11)</f>
        <v>15557754.219645504</v>
      </c>
      <c r="D15" s="14" t="s">
        <v>3</v>
      </c>
      <c r="E15" s="1"/>
    </row>
    <row r="16" spans="1:5" x14ac:dyDescent="0.25">
      <c r="A16" s="1"/>
      <c r="B16" s="56" t="s">
        <v>157</v>
      </c>
      <c r="C16" s="48">
        <f>('Fane 2.1. Økonomisk ramme 2025'!C11+'Fane 2.1. Økonomisk ramme 2025'!C13+'Fane 2.1. Økonomisk ramme 2025'!C15)*(1+'Fane 13. Nøgletal'!C11)</f>
        <v>6251.4410727149007</v>
      </c>
      <c r="D16" s="14" t="s">
        <v>3</v>
      </c>
      <c r="E16" s="1"/>
    </row>
    <row r="17" spans="1:5" x14ac:dyDescent="0.25">
      <c r="A17" s="1"/>
      <c r="B17" s="56" t="s">
        <v>158</v>
      </c>
      <c r="C17" s="48">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7" t="s">
        <v>166</v>
      </c>
      <c r="C20" s="98"/>
      <c r="D20" s="99"/>
      <c r="E20" s="1"/>
    </row>
    <row r="21" spans="1:5" x14ac:dyDescent="0.25">
      <c r="A21" s="1"/>
      <c r="B21" s="56" t="s">
        <v>164</v>
      </c>
      <c r="C21" s="48">
        <f>(C15+C16-C17)*(1+'Fane 13. Nøgletal'!C11)</f>
        <v>16595899.236023838</v>
      </c>
      <c r="D21" s="14" t="s">
        <v>3</v>
      </c>
      <c r="E21" s="1"/>
    </row>
    <row r="22" spans="1:5" x14ac:dyDescent="0.25">
      <c r="A22" s="1"/>
      <c r="B22" s="56" t="s">
        <v>165</v>
      </c>
      <c r="C22" s="48">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7" t="s">
        <v>119</v>
      </c>
      <c r="C25" s="98"/>
      <c r="D25" s="99"/>
      <c r="E25" s="1"/>
    </row>
    <row r="26" spans="1:5" x14ac:dyDescent="0.25">
      <c r="A26" s="1"/>
      <c r="B26" s="56" t="s">
        <v>120</v>
      </c>
      <c r="C26" s="48">
        <f>(C21-C22)*(1+'Fane 13. Nøgletal'!C11)</f>
        <v>17696207.35537222</v>
      </c>
      <c r="D26" s="14" t="s">
        <v>3</v>
      </c>
      <c r="E26" s="1"/>
    </row>
    <row r="27" spans="1:5" x14ac:dyDescent="0.25">
      <c r="A27" s="1"/>
      <c r="B27" s="56" t="s">
        <v>121</v>
      </c>
      <c r="C27" s="48">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7" t="s">
        <v>139</v>
      </c>
      <c r="C30" s="98"/>
      <c r="D30" s="99"/>
      <c r="E30" s="1"/>
    </row>
    <row r="31" spans="1:5" x14ac:dyDescent="0.25">
      <c r="A31" s="1"/>
      <c r="B31" s="56" t="s">
        <v>140</v>
      </c>
      <c r="C31" s="48">
        <f>(C26-C27)*(1+'Fane 13. Nøgletal'!C11)</f>
        <v>18869465.903033398</v>
      </c>
      <c r="D31" s="14" t="s">
        <v>3</v>
      </c>
      <c r="E31" s="1"/>
    </row>
    <row r="32" spans="1:5" x14ac:dyDescent="0.25">
      <c r="A32" s="1"/>
      <c r="B32" s="56" t="s">
        <v>141</v>
      </c>
      <c r="C32" s="48">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9ITPUi7fbhBhdOQ8kZJQBH4qMa/mU7UQbIsCAmcuo2a+Eu4I7YJUi0B1hMYh94p1vpGlMRw3ggFWPzLkkx721w==" saltValue="nDPXmb5Sd7Jlm+PXodcCAw=="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3" t="s">
        <v>41</v>
      </c>
      <c r="C3" s="93"/>
      <c r="D3" s="1"/>
    </row>
    <row r="4" spans="1:4" ht="15" customHeight="1" x14ac:dyDescent="0.25">
      <c r="A4" s="1"/>
      <c r="B4" s="93"/>
      <c r="C4" s="93"/>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7" t="s">
        <v>9</v>
      </c>
      <c r="C8" s="99"/>
      <c r="D8" s="1"/>
    </row>
    <row r="9" spans="1:4" x14ac:dyDescent="0.25">
      <c r="A9" s="1"/>
      <c r="B9" s="56" t="s">
        <v>160</v>
      </c>
      <c r="C9" s="44">
        <v>0</v>
      </c>
      <c r="D9" s="1"/>
    </row>
    <row r="10" spans="1:4" x14ac:dyDescent="0.25">
      <c r="A10" s="1"/>
      <c r="B10" s="52"/>
      <c r="C10" s="19"/>
      <c r="D10" s="1"/>
    </row>
    <row r="11" spans="1:4" ht="15" customHeight="1" x14ac:dyDescent="0.25">
      <c r="A11" s="1"/>
      <c r="B11" s="102" t="s">
        <v>161</v>
      </c>
      <c r="C11" s="103"/>
      <c r="D11" s="1"/>
    </row>
    <row r="12" spans="1:4" ht="13.5" customHeight="1" x14ac:dyDescent="0.25">
      <c r="A12" s="1"/>
      <c r="B12" s="104"/>
      <c r="C12" s="10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srrT9DYZnZtxUkwURw/M31+PMwK/djK87ckt4Cgw6GK0Tsuvlkme/7o76EsYm7EJFh7T74lX6t7b8+kww//saw==" saltValue="jDLGzV4DNd8vDXR54i9w/g=="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2024-09-05T07:26:17Z</dcterms:modified>
</cp:coreProperties>
</file>