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ladsaxe AS (S029)\ØR2024\"/>
    </mc:Choice>
  </mc:AlternateContent>
  <xr:revisionPtr revIDLastSave="0" documentId="13_ncr:1_{FB102A58-FC56-4B84-AB5F-90509A91FCE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<sst xmlns="http://schemas.openxmlformats.org/spreadsheetml/2006/main" count="659" uniqueCount="293">
  <si>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</si>
  <si>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</si>
  <si>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</si>
  <si>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</si>
  <si>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</si>
  <si>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</si>
  <si>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</si>
  <si>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</si>
  <si>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</si>
  <si>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</si>
  <si>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</si>
  <si>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</si>
  <si>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</si>
  <si>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</si>
  <si>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</si>
  <si>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</si>
  <si>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</si>
  <si>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</si>
  <si>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</si>
  <si>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</si>
  <si>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</si>
  <si>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</si>
  <si>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</si>
  <si>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</si>
  <si>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</si>
  <si>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</si>
  <si>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</si>
  <si>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</si>
  <si>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</si>
  <si>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</si>
  <si>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</si>
  <si>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</si>
  <si>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</si>
  <si>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</si>
  <si>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</si>
  <si>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</si>
  <si>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</si>
  <si>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</si>
  <si>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</si>
  <si>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</si>
  <si>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</si>
  <si>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</si>
  <si>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</si>
  <si>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</si>
  <si>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</si>
  <si>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</si>
  <si>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</si>
  <si>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</si>
  <si>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</si>
  <si>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</si>
  <si>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</si>
  <si>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</si>
  <si>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</si>
  <si>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</si>
  <si>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</si>
  <si>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</si>
  <si>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</si>
  <si>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</si>
  <si>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</si>
  <si>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</si>
  <si>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</si>
  <si>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</si>
  <si>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</si>
  <si>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</si>
  <si>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</si>
  <si>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</si>
  <si>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</si>
  <si>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</si>
  <si>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</si>
  <si>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</si>
  <si>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</si>
  <si>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</si>
  <si>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</si>
  <si>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</si>
  <si>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</si>
  <si>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</si>
  <si>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</si>
  <si>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</si>
  <si>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</si>
  <si>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</si>
  <si>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</si>
  <si>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</si>
  <si>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</si>
  <si>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</si>
  <si>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</si>
  <si>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</si>
  <si>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</si>
  <si>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</si>
  <si>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</si>
  <si>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</si>
  <si>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</si>
  <si>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</si>
  <si>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</si>
  <si>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</si>
  <si>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</si>
  <si>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</si>
  <si>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</si>
  <si>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</si>
  <si>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</si>
  <si>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</si>
  <si>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</si>
  <si>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</si>
  <si>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</si>
  <si>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</si>
  <si>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</si>
  <si>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</si>
  <si>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</si>
  <si>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</si>
  <si>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</si>
  <si>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</si>
  <si>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</si>
  <si>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</si>
  <si>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</si>
  <si>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</si>
  <si>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</si>
  <si>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</si>
  <si>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</si>
  <si>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</si>
  <si>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</si>
  <si>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</si>
  <si>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</si>
  <si>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</si>
  <si>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</si>
  <si>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</si>
  <si>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</si>
  <si>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</si>
  <si>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</si>
  <si>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</si>
  <si>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</si>
  <si>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</si>
  <si>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</si>
  <si>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</si>
  <si>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</si>
  <si>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</si>
  <si>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</si>
  <si>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</si>
  <si>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</si>
  <si>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</si>
  <si>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</si>
  <si>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</si>
  <si>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</si>
  <si>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</si>
  <si>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</si>
  <si>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</si>
  <si>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</si>
  <si>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</si>
  <si>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</si>
  <si>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</si>
  <si>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</si>
  <si>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</si>
  <si>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</si>
  <si>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</si>
  <si>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</si>
  <si>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</si>
  <si>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</si>
  <si>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</si>
  <si>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</si>
  <si>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</si>
  <si>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</si>
  <si>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</si>
  <si>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</si>
  <si>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</si>
  <si>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</si>
  <si>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</si>
  <si>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</si>
  <si>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</si>
  <si>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</si>
  <si>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</si>
  <si>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</si>
  <si>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</si>
  <si>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</si>
  <si>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</si>
  <si>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</si>
  <si>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</si>
  <si>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</si>
  <si>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</si>
  <si>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</si>
  <si>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</si>
  <si>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</si>
  <si>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</si>
  <si>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</si>
  <si>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</si>
  <si>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</si>
  <si>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</si>
  <si>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</si>
  <si>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</si>
  <si>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</si>
  <si>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</si>
  <si>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</si>
  <si>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</si>
  <si>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</si>
  <si>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</si>
  <si>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</si>
  <si>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</si>
  <si>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</si>
  <si>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</si>
  <si>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</si>
  <si>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</si>
  <si>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</si>
  <si>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</si>
  <si>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</si>
  <si>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</si>
  <si>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</si>
  <si>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</si>
  <si>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</si>
  <si>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</si>
  <si>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</si>
  <si>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</si>
  <si>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</si>
  <si>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</si>
  <si>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</si>
  <si>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</si>
  <si>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</si>
  <si>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</si>
  <si>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</si>
  <si>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</si>
  <si>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</si>
  <si>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</si>
  <si>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</si>
  <si>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</si>
  <si>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</si>
  <si>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</si>
  <si>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</si>
  <si>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</si>
  <si>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</si>
  <si>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</si>
  <si>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</si>
  <si>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</si>
  <si>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</si>
  <si>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</si>
  <si>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</si>
  <si>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</si>
  <si>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</si>
  <si>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</si>
  <si>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</si>
  <si>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</si>
  <si>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</si>
  <si>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</si>
  <si>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</si>
  <si>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</si>
  <si>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</si>
  <si>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</si>
  <si>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</si>
  <si>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</si>
  <si>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</si>
  <si>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</si>
  <si>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</si>
  <si>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</si>
  <si>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</si>
  <si>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</si>
  <si>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</si>
  <si>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</si>
  <si>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</si>
  <si>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</si>
  <si>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</si>
  <si>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</si>
  <si>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</si>
  <si>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</si>
  <si>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</si>
  <si>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</si>
  <si>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</si>
  <si>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</si>
  <si>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</si>
  <si>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</si>
  <si>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</si>
  <si>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</si>
  <si>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</si>
  <si>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</si>
  <si>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</si>
  <si>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</si>
  <si>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</si>
  <si>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</si>
  <si>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Gedvad - Møllemarken - fortsættelse 2</t>
  </si>
  <si>
    <t>Letbane</t>
  </si>
  <si>
    <t>SGL Nye Regnvandsstik, Separat kloakering 2022</t>
  </si>
  <si>
    <t>SGL Nyt spildevandsstik Vadstrupvej</t>
  </si>
  <si>
    <t xml:space="preserve">Stiketableringer </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</si>
  <si>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</si>
  <si>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</si>
  <si>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</si>
  <si>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</si>
  <si>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</si>
  <si>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</si>
  <si>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</si>
  <si>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</si>
  <si>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</si>
  <si>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</si>
  <si>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</si>
  <si>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</si>
  <si>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Afgift til Forsyningssekretariatet</t>
  </si>
  <si>
    <t>Køb af ydelser og produkter fra andre vandselskaber</t>
  </si>
  <si>
    <t>Ejendomsskat</t>
  </si>
  <si>
    <t>Erstatninger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</si>
</sst>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167" fontId="8" fillId="8" borderId="2" xfId="1" quotePrefix="1" applyNumberFormat="1" applyFont="1" applyFill="1" applyBorder="1" applyAlignment="1" applyProtection="1">
      <alignment horizontal="right" wrapText="1"/>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7"/>
      <c r="B51" s="47"/>
      <c r="C51" s="47"/>
      <c r="D51" s="47"/>
      <c r="E51" s="47"/>
      <c r="F51" s="47"/>
      <c r="G51" s="47"/>
      <c r="H51" s="47"/>
      <c r="I51" s="47"/>
    </row>
  </sheetData>
  <sheetProtection algorithmName="SHA-512" hashValue="MDNprhDroWmDo+K7znvzj2AxbeYYzQ4MbrtWQLUAHaYVQErMvfuVfpWTBen1Z5rMQyi3N+PUT5R6oluxTj4M2A==" saltValue="ABp9E+0+VeTMcd3DcBw51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49" t="s">
        <v>225</v>
      </c>
      <c r="D9" s="11"/>
      <c r="E9" s="1"/>
      <c r="F9" s="1"/>
    </row>
    <row r="10" spans="1:6" ht="15" customHeight="1" x14ac:dyDescent="0.25">
      <c r="A10" s="1"/>
      <c r="B10" s="82" t="s">
        <v>289</v>
      </c>
      <c r="C10" s="9">
        <v>139933</v>
      </c>
      <c r="D10" s="14" t="s">
        <v>3</v>
      </c>
      <c r="E10" s="1"/>
      <c r="F10" s="1"/>
    </row>
    <row r="11" spans="1:6" ht="15" customHeight="1" x14ac:dyDescent="0.25">
      <c r="A11" s="1"/>
      <c r="B11" s="82" t="s">
        <v>290</v>
      </c>
      <c r="C11" s="9">
        <v>31498593</v>
      </c>
      <c r="D11" s="14" t="s">
        <v>3</v>
      </c>
      <c r="E11" s="1"/>
      <c r="F11" s="1"/>
    </row>
    <row r="12" spans="1:6" x14ac:dyDescent="0.25">
      <c r="A12" s="1"/>
      <c r="B12" s="82" t="s">
        <v>291</v>
      </c>
      <c r="C12" s="9">
        <v>470851</v>
      </c>
      <c r="D12" s="14" t="s">
        <v>3</v>
      </c>
      <c r="E12" s="1"/>
      <c r="F12" s="1"/>
    </row>
    <row r="13" spans="1:6" x14ac:dyDescent="0.25">
      <c r="A13" s="1"/>
      <c r="B13" s="82" t="s">
        <v>292</v>
      </c>
      <c r="C13" s="9">
        <v>29138</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32138515</v>
      </c>
      <c r="D20" s="13" t="s">
        <v>3</v>
      </c>
      <c r="E20" s="1"/>
      <c r="F20" s="1"/>
    </row>
    <row r="21" spans="1:6" x14ac:dyDescent="0.25">
      <c r="A21" s="1"/>
      <c r="B21" s="33" t="s">
        <v>227</v>
      </c>
      <c r="C21" s="12">
        <f>C20*(1+'Fane 15. Nøgletal'!C16)^2</f>
        <v>37541919.818569601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2" t="s">
        <v>109</v>
      </c>
      <c r="C33" s="9">
        <v>262579</v>
      </c>
      <c r="D33" s="14" t="s">
        <v>3</v>
      </c>
      <c r="E33" s="1"/>
      <c r="F33" s="1"/>
    </row>
    <row r="34" spans="1:6" x14ac:dyDescent="0.25">
      <c r="A34" s="1"/>
      <c r="B34" s="82" t="s">
        <v>123</v>
      </c>
      <c r="C34" s="9">
        <v>262579</v>
      </c>
      <c r="D34" s="14" t="s">
        <v>3</v>
      </c>
      <c r="E34" s="1"/>
      <c r="F34" s="1"/>
    </row>
    <row r="35" spans="1:6" x14ac:dyDescent="0.25">
      <c r="A35" s="1"/>
      <c r="B35" s="82" t="s">
        <v>142</v>
      </c>
      <c r="C35" s="9">
        <v>262580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7"/>
      <c r="B51" s="47"/>
      <c r="C51" s="47"/>
      <c r="D51" s="47"/>
      <c r="E51" s="47"/>
      <c r="F51" s="47"/>
    </row>
    <row r="52" spans="1:6" x14ac:dyDescent="0.25">
      <c r="A52" s="47"/>
      <c r="B52" s="47"/>
      <c r="C52" s="47"/>
      <c r="D52" s="47"/>
      <c r="E52" s="47"/>
      <c r="F52" s="47"/>
    </row>
    <row r="53" spans="1:6" x14ac:dyDescent="0.25">
      <c r="A53" s="47"/>
      <c r="B53" s="47"/>
      <c r="C53" s="47"/>
      <c r="D53" s="47"/>
      <c r="E53" s="47"/>
      <c r="F53" s="47"/>
    </row>
    <row r="54" spans="1:6" x14ac:dyDescent="0.25">
      <c r="A54" s="47"/>
      <c r="B54" s="47"/>
      <c r="C54" s="47"/>
      <c r="D54" s="47"/>
      <c r="E54" s="47"/>
      <c r="F54" s="47"/>
    </row>
    <row r="55" spans="1:6" x14ac:dyDescent="0.25">
      <c r="A55" s="47"/>
      <c r="B55" s="47"/>
      <c r="C55" s="47"/>
      <c r="D55" s="47"/>
      <c r="E55" s="47"/>
      <c r="F55" s="47"/>
    </row>
    <row r="56" spans="1:6" x14ac:dyDescent="0.25">
      <c r="A56" s="47"/>
      <c r="B56" s="47"/>
      <c r="C56" s="47"/>
      <c r="D56" s="47"/>
      <c r="E56" s="47"/>
      <c r="F56" s="47"/>
    </row>
    <row r="57" spans="1:6" x14ac:dyDescent="0.25">
      <c r="A57" s="47"/>
      <c r="B57" s="47"/>
      <c r="C57" s="47"/>
      <c r="D57" s="47"/>
      <c r="E57" s="47"/>
      <c r="F57" s="47"/>
    </row>
  </sheetData>
  <sheetProtection algorithmName="SHA-512" hashValue="ES3s+rDhwMTsVkv8b4trel1uQGA9Bv+axXcDck/Q4Cfe88bIY75oL1PB3RtFiEa88+QwhU2DKbW9nv5gYuD6gg==" saltValue="Bvq1gZy6NVq8MghKKAw6r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20D87-6777-402F-868E-3C9F095E519B}">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277</v>
      </c>
      <c r="C9" s="122"/>
      <c r="D9" s="123"/>
      <c r="E9" s="9">
        <v>-1955691</v>
      </c>
      <c r="F9" s="14" t="s">
        <v>3</v>
      </c>
      <c r="G9" s="1"/>
    </row>
    <row r="10" spans="1:7" ht="15" customHeight="1" x14ac:dyDescent="0.25">
      <c r="A10" s="1"/>
      <c r="B10" s="121" t="s">
        <v>143</v>
      </c>
      <c r="C10" s="122"/>
      <c r="D10" s="123"/>
      <c r="E10" s="9">
        <v>-21717514</v>
      </c>
      <c r="F10" s="14" t="s">
        <v>3</v>
      </c>
      <c r="G10" s="1"/>
    </row>
    <row r="11" spans="1:7" ht="15" customHeight="1" x14ac:dyDescent="0.25">
      <c r="A11" s="1"/>
      <c r="B11" s="121" t="s">
        <v>278</v>
      </c>
      <c r="C11" s="122"/>
      <c r="D11" s="123"/>
      <c r="E11" s="9">
        <v>-2212523</v>
      </c>
      <c r="F11" s="14" t="s">
        <v>3</v>
      </c>
      <c r="G11" s="1"/>
    </row>
    <row r="12" spans="1:7" x14ac:dyDescent="0.25">
      <c r="A12" s="1"/>
      <c r="B12" s="33"/>
      <c r="C12" s="28"/>
      <c r="D12" s="28"/>
      <c r="E12" s="28"/>
      <c r="F12" s="19"/>
      <c r="G12" s="1"/>
    </row>
    <row r="13" spans="1:7" ht="42" customHeight="1" x14ac:dyDescent="0.25">
      <c r="A13" s="1"/>
      <c r="B13" s="115" t="s">
        <v>279</v>
      </c>
      <c r="C13" s="116"/>
      <c r="D13" s="116"/>
      <c r="E13" s="116"/>
      <c r="F13" s="117"/>
      <c r="G13" s="1"/>
    </row>
    <row r="14" spans="1:7" ht="15" customHeight="1" x14ac:dyDescent="0.25">
      <c r="A14" s="1"/>
      <c r="B14" s="1"/>
      <c r="C14" s="1"/>
      <c r="D14" s="1"/>
      <c r="E14" s="1"/>
      <c r="F14" s="1"/>
      <c r="G14" s="1"/>
    </row>
    <row r="15" spans="1:7" x14ac:dyDescent="0.25">
      <c r="A15" s="1"/>
      <c r="B15" s="76" t="s">
        <v>280</v>
      </c>
      <c r="C15" s="77"/>
      <c r="D15" s="77"/>
      <c r="E15" s="77"/>
      <c r="F15" s="78"/>
      <c r="G15" s="1"/>
    </row>
    <row r="16" spans="1:7" x14ac:dyDescent="0.25">
      <c r="A16" s="1"/>
      <c r="B16" s="79" t="s">
        <v>281</v>
      </c>
      <c r="C16" s="80"/>
      <c r="D16" s="81"/>
      <c r="E16" s="9">
        <f>IF(E11&lt;0,E11,0)</f>
        <v>-2212523</v>
      </c>
      <c r="F16" s="14" t="s">
        <v>3</v>
      </c>
      <c r="G16" s="1"/>
    </row>
    <row r="17" spans="1:7" x14ac:dyDescent="0.25">
      <c r="A17" s="1"/>
      <c r="B17" s="79" t="s">
        <v>282</v>
      </c>
      <c r="C17" s="80"/>
      <c r="D17" s="81"/>
      <c r="E17" s="9">
        <f>IF(SUM(E10)&gt;0,SUM(E10),0)</f>
        <v>0</v>
      </c>
      <c r="F17" s="14" t="s">
        <v>3</v>
      </c>
      <c r="G17" s="1"/>
    </row>
    <row r="18" spans="1:7" x14ac:dyDescent="0.25">
      <c r="A18" s="1"/>
      <c r="B18" s="83" t="s">
        <v>283</v>
      </c>
      <c r="C18" s="84"/>
      <c r="D18" s="85"/>
      <c r="E18" s="61">
        <f>IF(SUM(E16:E17)&gt;0,0,SUM(E16:E17))</f>
        <v>-2212523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284</v>
      </c>
      <c r="C21" s="77"/>
      <c r="D21" s="77"/>
      <c r="E21" s="77"/>
      <c r="F21" s="78"/>
      <c r="G21" s="1"/>
    </row>
    <row r="22" spans="1:7" x14ac:dyDescent="0.25">
      <c r="A22" s="1"/>
      <c r="B22" s="79" t="s">
        <v>285</v>
      </c>
      <c r="C22" s="80"/>
      <c r="D22" s="81"/>
      <c r="E22" s="9">
        <v>81393727</v>
      </c>
      <c r="F22" s="14" t="s">
        <v>3</v>
      </c>
      <c r="G22" s="1"/>
    </row>
    <row r="23" spans="1:7" x14ac:dyDescent="0.25">
      <c r="A23" s="1"/>
      <c r="B23" s="79" t="s">
        <v>286</v>
      </c>
      <c r="C23" s="80"/>
      <c r="D23" s="81"/>
      <c r="E23" s="9">
        <v>80347039</v>
      </c>
      <c r="F23" s="14" t="s">
        <v>3</v>
      </c>
      <c r="G23" s="1"/>
    </row>
    <row r="24" spans="1:7" x14ac:dyDescent="0.25">
      <c r="A24" s="1"/>
      <c r="B24" s="79" t="s">
        <v>30</v>
      </c>
      <c r="C24" s="80"/>
      <c r="D24" s="81"/>
      <c r="E24" s="9">
        <v>0</v>
      </c>
      <c r="F24" s="14" t="s">
        <v>3</v>
      </c>
      <c r="G24" s="1"/>
    </row>
    <row r="25" spans="1:7" x14ac:dyDescent="0.25">
      <c r="A25" s="1"/>
      <c r="B25" s="83" t="s">
        <v>287</v>
      </c>
      <c r="C25" s="84"/>
      <c r="D25" s="85"/>
      <c r="E25" s="61">
        <f>E22-E23-E24</f>
        <v>1046688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288</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-2212523</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-1106261.5</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7"/>
      <c r="B46" s="47"/>
      <c r="C46" s="47"/>
      <c r="D46" s="47"/>
      <c r="E46" s="47"/>
      <c r="F46" s="47"/>
      <c r="G46" s="47"/>
    </row>
    <row r="47" spans="1:7" x14ac:dyDescent="0.25">
      <c r="A47" s="47"/>
      <c r="B47" s="47"/>
      <c r="C47" s="47"/>
      <c r="D47" s="47"/>
      <c r="E47" s="47"/>
      <c r="F47" s="47"/>
      <c r="G47" s="47"/>
    </row>
    <row r="48" spans="1:7" x14ac:dyDescent="0.25">
      <c r="A48" s="47"/>
      <c r="B48" s="47"/>
      <c r="C48" s="47"/>
      <c r="D48" s="47"/>
      <c r="E48" s="47"/>
      <c r="F48" s="47"/>
      <c r="G48" s="47"/>
    </row>
    <row r="49" spans="1:7" x14ac:dyDescent="0.25">
      <c r="A49" s="47"/>
      <c r="B49" s="47"/>
      <c r="C49" s="47"/>
      <c r="D49" s="47"/>
      <c r="E49" s="47"/>
      <c r="F49" s="47"/>
      <c r="G49" s="47"/>
    </row>
    <row r="50" spans="1:7" x14ac:dyDescent="0.25">
      <c r="A50" s="47"/>
      <c r="B50" s="47"/>
      <c r="C50" s="47"/>
      <c r="D50" s="47"/>
      <c r="E50" s="47"/>
      <c r="F50" s="47"/>
      <c r="G50" s="47"/>
    </row>
    <row r="51" spans="1:7" x14ac:dyDescent="0.25">
      <c r="A51" s="47"/>
      <c r="G51" s="47"/>
    </row>
  </sheetData>
  <sheetProtection algorithmName="SHA-512" hashValue="/rbptA2cyC2hdIkqhd9mFfb4+33y2/EZ3bieMpYZ46Vp7bOsfD8L24vaPeuoQf8B92O4sM0mfKvf9pq7F1fEbQ==" saltValue="PQrSPn6iATltyY4W2Ij4w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0" customWidth="1"/>
    <col min="2" max="2" width="22.5703125" style="60" customWidth="1"/>
    <col min="3" max="3" width="8.28515625" style="60" customWidth="1"/>
    <col min="4" max="6" width="10.7109375" style="60" customWidth="1"/>
    <col min="7" max="7" width="11.140625" style="60" customWidth="1"/>
    <col min="8" max="8" width="3.28515625" style="60" customWidth="1"/>
    <col min="9" max="9" width="4.85546875" style="60" customWidth="1"/>
    <col min="10" max="16384" width="9.140625" style="6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K8KUEpx/CUcoZD4tvP6I9AUHEamena3/LhZbQmEJ3yoPfBMZXf0DO5ZJ61o4trg3i4g6M6vDSZPi6Sq17HK76w==" saltValue="fZ4Q3ZZVDN9Kgk+bCkYrg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aAm7zgSpUdBr7G/Qyi+GsQrmP1ED7WjT+zUkhACRT5sb1iN3JHnSyOhTPDfYTH7fFbo/WwX9DvKgfZNpPLfdw==" saltValue="9S+h1QBfB1jWLhukWJkMp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9">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7"/>
      <c r="B45" s="47"/>
      <c r="C45" s="47"/>
      <c r="D45" s="47"/>
      <c r="E45" s="47"/>
      <c r="F45" s="47"/>
      <c r="G45" s="47"/>
      <c r="H45" s="47"/>
      <c r="I45" s="47"/>
      <c r="J45" s="47"/>
      <c r="K45" s="47"/>
      <c r="L45" s="47"/>
    </row>
    <row r="46" spans="1:12" x14ac:dyDescent="0.25">
      <c r="A46" s="47"/>
      <c r="B46" s="47"/>
      <c r="C46" s="47"/>
      <c r="D46" s="47"/>
      <c r="E46" s="47"/>
      <c r="F46" s="47"/>
      <c r="G46" s="47"/>
      <c r="H46" s="47"/>
      <c r="I46" s="47"/>
      <c r="J46" s="47"/>
      <c r="K46" s="47"/>
      <c r="L46" s="47"/>
    </row>
  </sheetData>
  <sheetProtection algorithmName="SHA-512" hashValue="GxoL3MwBP0FXULzGsABYTV4c8LM6vcZlui7enlpGxbDoWQf6ktJLsoxsYNlpR2M/1eE7XxTIUPE/G/qwyaImHQ==" saltValue="DRvqHb3QOoh1TvUfIrXrZ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0</v>
      </c>
      <c r="D11" s="14" t="s">
        <v>3</v>
      </c>
      <c r="E11" s="9">
        <v>68565</v>
      </c>
      <c r="F11" s="14" t="s">
        <v>3</v>
      </c>
      <c r="G11" s="1"/>
    </row>
    <row r="12" spans="1:7" x14ac:dyDescent="0.25">
      <c r="A12" s="1"/>
      <c r="B12" s="24" t="s">
        <v>273</v>
      </c>
      <c r="C12" s="21">
        <v>0</v>
      </c>
      <c r="D12" s="14" t="s">
        <v>3</v>
      </c>
      <c r="E12" s="9">
        <v>3103689</v>
      </c>
      <c r="F12" s="14" t="s">
        <v>3</v>
      </c>
      <c r="G12" s="1"/>
    </row>
    <row r="13" spans="1:7" ht="26.25" x14ac:dyDescent="0.25">
      <c r="A13" s="1"/>
      <c r="B13" s="71" t="s">
        <v>274</v>
      </c>
      <c r="C13" s="21">
        <v>0</v>
      </c>
      <c r="D13" s="14" t="s">
        <v>3</v>
      </c>
      <c r="E13" s="9">
        <v>7282</v>
      </c>
      <c r="F13" s="14" t="s">
        <v>3</v>
      </c>
      <c r="G13" s="1"/>
    </row>
    <row r="14" spans="1:7" x14ac:dyDescent="0.25">
      <c r="A14" s="1"/>
      <c r="B14" s="24" t="s">
        <v>275</v>
      </c>
      <c r="C14" s="21">
        <v>0</v>
      </c>
      <c r="D14" s="14" t="s">
        <v>3</v>
      </c>
      <c r="E14" s="9">
        <v>22284.010000000002</v>
      </c>
      <c r="F14" s="14" t="s">
        <v>3</v>
      </c>
      <c r="G14" s="1"/>
    </row>
    <row r="15" spans="1:7" x14ac:dyDescent="0.25">
      <c r="A15" s="1"/>
      <c r="B15" s="24" t="s">
        <v>276</v>
      </c>
      <c r="C15" s="21">
        <v>61420</v>
      </c>
      <c r="D15" s="14" t="s">
        <v>3</v>
      </c>
      <c r="E15" s="9">
        <v>5527</v>
      </c>
      <c r="F15" s="14" t="s">
        <v>3</v>
      </c>
      <c r="G15" s="1"/>
    </row>
    <row r="16" spans="1:7" x14ac:dyDescent="0.25">
      <c r="A16" s="1"/>
      <c r="B16" s="24" t="s">
        <v>74</v>
      </c>
      <c r="C16" s="21">
        <v>999</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62419</v>
      </c>
      <c r="D19" s="13" t="s">
        <v>3</v>
      </c>
      <c r="E19" s="12">
        <f>SUM(E10:E18)</f>
        <v>3207347.01</v>
      </c>
      <c r="F19" s="13" t="s">
        <v>3</v>
      </c>
      <c r="G19" s="1"/>
    </row>
    <row r="20" spans="1:7" x14ac:dyDescent="0.25">
      <c r="A20" s="1"/>
      <c r="B20" s="33" t="s">
        <v>233</v>
      </c>
      <c r="C20" s="12">
        <f>C19*(1+'Fane 15. Nøgletal'!C16)</f>
        <v>67462.455199999997</v>
      </c>
      <c r="D20" s="13" t="s">
        <v>3</v>
      </c>
      <c r="E20" s="12">
        <f>E19*(1+'Fane 15. Nøgletal'!C16)</f>
        <v>3466500.6484079999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Ja6JjXAHvnQMgMEVagNS5wXC+YKNGZF/BeoqeyWnlNmFOOdKCiJEp7wHs6/330e8BCNFW+EVVgEi3k4mBvXzQ==" saltValue="9JKGRPsyYA9yJNQPisIEA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t="s">
        <v>74</v>
      </c>
      <c r="C10" s="21">
        <v>39950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39950</v>
      </c>
      <c r="D13" s="13" t="s">
        <v>3</v>
      </c>
      <c r="E13" s="12">
        <f>SUM(E10:E12)</f>
        <v>0</v>
      </c>
      <c r="F13" s="13" t="s">
        <v>3</v>
      </c>
      <c r="G13" s="1"/>
    </row>
    <row r="14" spans="1:7" x14ac:dyDescent="0.25">
      <c r="A14" s="1"/>
      <c r="B14" s="33" t="s">
        <v>235</v>
      </c>
      <c r="C14" s="12">
        <f>C13*(1+'Fane 15. Nøgletal'!C16)^2</f>
        <v>46666.739168</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1"/>
      <c r="C17" s="51"/>
      <c r="D17" s="51"/>
      <c r="E17" s="51"/>
      <c r="F17" s="52"/>
      <c r="G17" s="1"/>
    </row>
    <row r="18" spans="1:7" x14ac:dyDescent="0.25">
      <c r="A18" s="1"/>
      <c r="B18" s="53"/>
      <c r="C18" s="54"/>
      <c r="D18" s="55"/>
      <c r="E18" s="56"/>
      <c r="F18" s="55"/>
      <c r="G18" s="1"/>
    </row>
    <row r="19" spans="1:7" x14ac:dyDescent="0.25">
      <c r="A19" s="1"/>
      <c r="B19" s="53"/>
      <c r="C19" s="54"/>
      <c r="D19" s="55"/>
      <c r="E19" s="56"/>
      <c r="F19" s="55"/>
      <c r="G19" s="1"/>
    </row>
    <row r="20" spans="1:7" x14ac:dyDescent="0.25">
      <c r="A20" s="1"/>
      <c r="B20" s="57"/>
      <c r="C20" s="58"/>
      <c r="D20" s="59"/>
      <c r="E20" s="58"/>
      <c r="F20" s="59"/>
      <c r="G20" s="1"/>
    </row>
    <row r="21" spans="1:7" x14ac:dyDescent="0.25">
      <c r="A21" s="1"/>
      <c r="B21" s="57"/>
      <c r="C21" s="58"/>
      <c r="D21" s="59"/>
      <c r="E21" s="58"/>
      <c r="F21" s="59"/>
      <c r="G21" s="1"/>
    </row>
    <row r="22" spans="1:7" x14ac:dyDescent="0.25">
      <c r="A22" s="1"/>
      <c r="B22" s="50"/>
      <c r="C22" s="50"/>
      <c r="D22" s="50"/>
      <c r="E22" s="50"/>
      <c r="F22" s="50"/>
      <c r="G22" s="1"/>
    </row>
    <row r="23" spans="1:7" x14ac:dyDescent="0.25">
      <c r="A23" s="1"/>
      <c r="B23" s="150"/>
      <c r="C23" s="150"/>
      <c r="D23" s="150"/>
      <c r="E23" s="150"/>
      <c r="F23" s="150"/>
      <c r="G23" s="1"/>
    </row>
    <row r="24" spans="1:7" x14ac:dyDescent="0.25">
      <c r="A24" s="1"/>
      <c r="B24" s="51"/>
      <c r="C24" s="51"/>
      <c r="D24" s="51"/>
      <c r="E24" s="51"/>
      <c r="F24" s="52"/>
      <c r="G24" s="1"/>
    </row>
    <row r="25" spans="1:7" x14ac:dyDescent="0.25">
      <c r="A25" s="1"/>
      <c r="B25" s="53"/>
      <c r="C25" s="54"/>
      <c r="D25" s="55"/>
      <c r="E25" s="56"/>
      <c r="F25" s="55"/>
      <c r="G25" s="1"/>
    </row>
    <row r="26" spans="1:7" x14ac:dyDescent="0.25">
      <c r="A26" s="1"/>
      <c r="B26" s="53"/>
      <c r="C26" s="54"/>
      <c r="D26" s="55"/>
      <c r="E26" s="56"/>
      <c r="F26" s="55"/>
      <c r="G26" s="1"/>
    </row>
    <row r="27" spans="1:7" x14ac:dyDescent="0.25">
      <c r="A27" s="1"/>
      <c r="B27" s="57"/>
      <c r="C27" s="58"/>
      <c r="D27" s="59"/>
      <c r="E27" s="58"/>
      <c r="F27" s="59"/>
      <c r="G27" s="1"/>
    </row>
    <row r="28" spans="1:7" x14ac:dyDescent="0.25">
      <c r="A28" s="1"/>
      <c r="B28" s="57"/>
      <c r="C28" s="58"/>
      <c r="D28" s="59"/>
      <c r="E28" s="58"/>
      <c r="F28" s="59"/>
      <c r="G28" s="1"/>
    </row>
    <row r="29" spans="1:7" x14ac:dyDescent="0.25">
      <c r="A29" s="1"/>
      <c r="B29" s="50"/>
      <c r="C29" s="50"/>
      <c r="D29" s="50"/>
      <c r="E29" s="50"/>
      <c r="F29" s="50"/>
      <c r="G29" s="1"/>
    </row>
    <row r="30" spans="1:7" x14ac:dyDescent="0.25">
      <c r="A30" s="1"/>
      <c r="B30" s="150"/>
      <c r="C30" s="150"/>
      <c r="D30" s="150"/>
      <c r="E30" s="150"/>
      <c r="F30" s="150"/>
      <c r="G30" s="1"/>
    </row>
    <row r="31" spans="1:7" x14ac:dyDescent="0.25">
      <c r="A31" s="1"/>
      <c r="B31" s="51"/>
      <c r="C31" s="51"/>
      <c r="D31" s="51"/>
      <c r="E31" s="51"/>
      <c r="F31" s="52"/>
      <c r="G31" s="1"/>
    </row>
    <row r="32" spans="1:7" x14ac:dyDescent="0.25">
      <c r="A32" s="1"/>
      <c r="B32" s="53"/>
      <c r="C32" s="54"/>
      <c r="D32" s="55"/>
      <c r="E32" s="56"/>
      <c r="F32" s="55"/>
      <c r="G32" s="1"/>
    </row>
    <row r="33" spans="1:7" x14ac:dyDescent="0.25">
      <c r="A33" s="1"/>
      <c r="B33" s="53"/>
      <c r="C33" s="54"/>
      <c r="D33" s="55"/>
      <c r="E33" s="56"/>
      <c r="F33" s="55"/>
      <c r="G33" s="1"/>
    </row>
    <row r="34" spans="1:7" x14ac:dyDescent="0.25">
      <c r="A34" s="1"/>
      <c r="B34" s="57"/>
      <c r="C34" s="58"/>
      <c r="D34" s="59"/>
      <c r="E34" s="58"/>
      <c r="F34" s="59"/>
      <c r="G34" s="1"/>
    </row>
    <row r="35" spans="1:7" x14ac:dyDescent="0.25">
      <c r="A35" s="1"/>
      <c r="B35" s="57"/>
      <c r="C35" s="58"/>
      <c r="D35" s="59"/>
      <c r="E35" s="58"/>
      <c r="F35" s="59"/>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mjjpRmSN9k3VJYW4ZRrM7/aR74mJY2BW+MFbHsjqmnmqzlHvGRdHpeWCRFJD6e9CrSk64UOIffswqwXl91Law==" saltValue="C3XAB81gKdxs0GAWnCB39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115234.64752150609</v>
      </c>
      <c r="F10" s="14" t="s">
        <v>3</v>
      </c>
      <c r="G10" s="1"/>
    </row>
    <row r="11" spans="1:7" x14ac:dyDescent="0.25">
      <c r="A11" s="1"/>
      <c r="B11" s="151" t="s">
        <v>10</v>
      </c>
      <c r="C11" s="152"/>
      <c r="D11" s="153"/>
      <c r="E11" s="9">
        <f>-E10*'Fane 5. Individuelt eff. krav'!G9</f>
        <v>-516.81902311261342</v>
      </c>
      <c r="F11" s="14" t="s">
        <v>3</v>
      </c>
      <c r="G11" s="1"/>
    </row>
    <row r="12" spans="1:7" x14ac:dyDescent="0.25">
      <c r="A12" s="1"/>
      <c r="B12" s="151" t="s">
        <v>23</v>
      </c>
      <c r="C12" s="152"/>
      <c r="D12" s="153"/>
      <c r="E12" s="9">
        <f>-E10*'Fane 15. Nøgletal'!C33</f>
        <v>-2304.692950430122</v>
      </c>
      <c r="F12" s="14" t="s">
        <v>3</v>
      </c>
      <c r="G12" s="1"/>
    </row>
    <row r="13" spans="1:7" x14ac:dyDescent="0.25">
      <c r="A13" s="1"/>
      <c r="B13" s="118" t="s">
        <v>111</v>
      </c>
      <c r="C13" s="119"/>
      <c r="D13" s="120"/>
      <c r="E13" s="12">
        <f>SUM(E10:E12)*(1+'Fane 15. Nøgletal'!C16)^2</f>
        <v>131313.00314577809</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115234.64752150609</v>
      </c>
      <c r="F16" s="14" t="s">
        <v>3</v>
      </c>
      <c r="G16" s="1"/>
    </row>
    <row r="17" spans="1:7" x14ac:dyDescent="0.25">
      <c r="A17" s="1"/>
      <c r="B17" s="151" t="s">
        <v>10</v>
      </c>
      <c r="C17" s="152"/>
      <c r="D17" s="153"/>
      <c r="E17" s="9">
        <f>-E16*'Fane 5. Individuelt eff. krav'!G9</f>
        <v>-516.81902311261342</v>
      </c>
      <c r="F17" s="14" t="s">
        <v>3</v>
      </c>
      <c r="G17" s="1"/>
    </row>
    <row r="18" spans="1:7" x14ac:dyDescent="0.25">
      <c r="A18" s="1"/>
      <c r="B18" s="151" t="s">
        <v>23</v>
      </c>
      <c r="C18" s="152"/>
      <c r="D18" s="153"/>
      <c r="E18" s="9">
        <f>-E16*'Fane 15. Nøgletal'!C33</f>
        <v>-2304.692950430122</v>
      </c>
      <c r="F18" s="14" t="s">
        <v>3</v>
      </c>
      <c r="G18" s="1"/>
    </row>
    <row r="19" spans="1:7" x14ac:dyDescent="0.25">
      <c r="A19" s="1"/>
      <c r="B19" s="118" t="s">
        <v>125</v>
      </c>
      <c r="C19" s="119"/>
      <c r="D19" s="120"/>
      <c r="E19" s="12">
        <f>SUM(E16:E18)*(1+'Fane 15. Nøgletal'!C16)^3</f>
        <v>141923.09379995696</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115234.64752150609</v>
      </c>
      <c r="F22" s="14" t="s">
        <v>3</v>
      </c>
      <c r="G22" s="1"/>
    </row>
    <row r="23" spans="1:7" x14ac:dyDescent="0.25">
      <c r="A23" s="1"/>
      <c r="B23" s="151" t="s">
        <v>10</v>
      </c>
      <c r="C23" s="152"/>
      <c r="D23" s="153"/>
      <c r="E23" s="9">
        <f>-E22*'Fane 5. Individuelt eff. krav'!G9</f>
        <v>-516.81902311261342</v>
      </c>
      <c r="F23" s="14" t="s">
        <v>3</v>
      </c>
      <c r="G23" s="1"/>
    </row>
    <row r="24" spans="1:7" x14ac:dyDescent="0.25">
      <c r="A24" s="1"/>
      <c r="B24" s="151" t="s">
        <v>23</v>
      </c>
      <c r="C24" s="152"/>
      <c r="D24" s="153"/>
      <c r="E24" s="9">
        <f>-E22*'Fane 15. Nøgletal'!C33</f>
        <v>-2304.692950430122</v>
      </c>
      <c r="F24" s="14" t="s">
        <v>3</v>
      </c>
      <c r="G24" s="1"/>
    </row>
    <row r="25" spans="1:7" x14ac:dyDescent="0.25">
      <c r="A25" s="1"/>
      <c r="B25" s="118" t="s">
        <v>146</v>
      </c>
      <c r="C25" s="119"/>
      <c r="D25" s="120"/>
      <c r="E25" s="12">
        <f>SUM(E22:E24)*(1+'Fane 15. Nøgletal'!C16)^4</f>
        <v>153390.47977899347</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115234.64752150609</v>
      </c>
      <c r="F28" s="14" t="s">
        <v>3</v>
      </c>
      <c r="G28" s="1"/>
    </row>
    <row r="29" spans="1:7" x14ac:dyDescent="0.25">
      <c r="A29" s="1"/>
      <c r="B29" s="151" t="s">
        <v>10</v>
      </c>
      <c r="C29" s="152"/>
      <c r="D29" s="153"/>
      <c r="E29" s="9">
        <f>-E28*'Fane 5. Individuelt eff. krav'!G9</f>
        <v>-516.81902311261342</v>
      </c>
      <c r="F29" s="14" t="s">
        <v>3</v>
      </c>
      <c r="G29" s="1"/>
    </row>
    <row r="30" spans="1:7" x14ac:dyDescent="0.25">
      <c r="A30" s="1"/>
      <c r="B30" s="151" t="s">
        <v>23</v>
      </c>
      <c r="C30" s="152"/>
      <c r="D30" s="153"/>
      <c r="E30" s="9">
        <f>-E28*'Fane 15. Nøgletal'!C33</f>
        <v>-2304.692950430122</v>
      </c>
      <c r="F30" s="14" t="s">
        <v>3</v>
      </c>
      <c r="G30" s="1"/>
    </row>
    <row r="31" spans="1:7" x14ac:dyDescent="0.25">
      <c r="A31" s="1"/>
      <c r="B31" s="118" t="s">
        <v>238</v>
      </c>
      <c r="C31" s="119"/>
      <c r="D31" s="120"/>
      <c r="E31" s="12">
        <f>SUM(E28:E30)*(1+'Fane 15. Nøgletal'!C16)^5</f>
        <v>165784.43054513613</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nqXji/reE86at6J5EjZg334lcl/xjAYuF7xZS6RF7eXOj9nAlBncpo2X4LJivB/F9NGvDzJfGcXhUKGy0CIpw==" saltValue="VRQLlBATlMMAiqalimcul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mntYgEVCm6hKjHmkfSWKELy0KH+ayM02ABHEe29qYcKZwgUgq1ur+qPqST8n7sN0W+8cKogILN7i7Yc65kT4JQ==" saltValue="X53wWkQIWDBYjbBv6pSJz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2"/>
      <c r="C16" s="52"/>
      <c r="D16" s="52"/>
      <c r="E16" s="52"/>
      <c r="F16" s="52"/>
      <c r="G16" s="1"/>
    </row>
    <row r="17" spans="1:7" x14ac:dyDescent="0.25">
      <c r="A17" s="1"/>
      <c r="B17" s="53"/>
      <c r="C17" s="56"/>
      <c r="D17" s="55"/>
      <c r="E17" s="56"/>
      <c r="F17" s="55"/>
      <c r="G17" s="1"/>
    </row>
    <row r="18" spans="1:7" x14ac:dyDescent="0.25">
      <c r="A18" s="1"/>
      <c r="B18" s="57"/>
      <c r="C18" s="58"/>
      <c r="D18" s="59"/>
      <c r="E18" s="58"/>
      <c r="F18" s="59"/>
      <c r="G18" s="1"/>
    </row>
    <row r="19" spans="1:7" x14ac:dyDescent="0.25">
      <c r="A19" s="1"/>
      <c r="B19" s="57"/>
      <c r="C19" s="58"/>
      <c r="D19" s="59"/>
      <c r="E19" s="58"/>
      <c r="F19" s="59"/>
      <c r="G19" s="1"/>
    </row>
    <row r="20" spans="1:7" x14ac:dyDescent="0.25">
      <c r="A20" s="1"/>
      <c r="B20" s="50"/>
      <c r="C20" s="50"/>
      <c r="D20" s="50"/>
      <c r="E20" s="50"/>
      <c r="F20" s="50"/>
      <c r="G20" s="1"/>
    </row>
    <row r="21" spans="1:7" x14ac:dyDescent="0.25">
      <c r="A21" s="1"/>
      <c r="B21" s="150"/>
      <c r="C21" s="150"/>
      <c r="D21" s="150"/>
      <c r="E21" s="150"/>
      <c r="F21" s="150"/>
      <c r="G21" s="1"/>
    </row>
    <row r="22" spans="1:7" x14ac:dyDescent="0.25">
      <c r="A22" s="1"/>
      <c r="B22" s="52"/>
      <c r="C22" s="52"/>
      <c r="D22" s="52"/>
      <c r="E22" s="52"/>
      <c r="F22" s="52"/>
      <c r="G22" s="1"/>
    </row>
    <row r="23" spans="1:7" x14ac:dyDescent="0.25">
      <c r="A23" s="1"/>
      <c r="B23" s="53"/>
      <c r="C23" s="56"/>
      <c r="D23" s="55"/>
      <c r="E23" s="56"/>
      <c r="F23" s="55"/>
      <c r="G23" s="1"/>
    </row>
    <row r="24" spans="1:7" x14ac:dyDescent="0.25">
      <c r="A24" s="1"/>
      <c r="B24" s="57"/>
      <c r="C24" s="58"/>
      <c r="D24" s="59"/>
      <c r="E24" s="58"/>
      <c r="F24" s="59"/>
      <c r="G24" s="1"/>
    </row>
    <row r="25" spans="1:7" x14ac:dyDescent="0.25">
      <c r="A25" s="1"/>
      <c r="B25" s="57"/>
      <c r="C25" s="58"/>
      <c r="D25" s="59"/>
      <c r="E25" s="58"/>
      <c r="F25" s="59"/>
      <c r="G25" s="1"/>
    </row>
    <row r="26" spans="1:7" x14ac:dyDescent="0.25">
      <c r="A26" s="1"/>
      <c r="B26" s="50"/>
      <c r="C26" s="50"/>
      <c r="D26" s="50"/>
      <c r="E26" s="50"/>
      <c r="F26" s="50"/>
      <c r="G26" s="1"/>
    </row>
    <row r="27" spans="1:7" x14ac:dyDescent="0.25">
      <c r="A27" s="1"/>
      <c r="B27" s="150"/>
      <c r="C27" s="150"/>
      <c r="D27" s="150"/>
      <c r="E27" s="150"/>
      <c r="F27" s="150"/>
      <c r="G27" s="1"/>
    </row>
    <row r="28" spans="1:7" x14ac:dyDescent="0.25">
      <c r="A28" s="1"/>
      <c r="B28" s="52"/>
      <c r="C28" s="52"/>
      <c r="D28" s="52"/>
      <c r="E28" s="52"/>
      <c r="F28" s="52"/>
      <c r="G28" s="1"/>
    </row>
    <row r="29" spans="1:7" x14ac:dyDescent="0.25">
      <c r="A29" s="1"/>
      <c r="B29" s="53"/>
      <c r="C29" s="56"/>
      <c r="D29" s="55"/>
      <c r="E29" s="56"/>
      <c r="F29" s="55"/>
      <c r="G29" s="1"/>
    </row>
    <row r="30" spans="1:7" x14ac:dyDescent="0.25">
      <c r="A30" s="1"/>
      <c r="B30" s="57"/>
      <c r="C30" s="58"/>
      <c r="D30" s="59"/>
      <c r="E30" s="58"/>
      <c r="F30" s="59"/>
      <c r="G30" s="1"/>
    </row>
    <row r="31" spans="1:7" x14ac:dyDescent="0.25">
      <c r="A31" s="1"/>
      <c r="B31" s="57"/>
      <c r="C31" s="58"/>
      <c r="D31" s="59"/>
      <c r="E31" s="58"/>
      <c r="F31" s="5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2SKP2+ma8no4/U98LiPl3uYDpLEfrNjbAX7Tp8Si+dqk3eDzeEK4+u4bgdOUkSPdD4VzvgKSYurBqoy9wwNAQ==" saltValue="zhJ+r+p3A0Yk+KQeZIB1Q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56815316.608117372</v>
      </c>
      <c r="D9" s="8" t="s">
        <v>3</v>
      </c>
      <c r="E9" s="1"/>
    </row>
    <row r="10" spans="1:5" ht="17.25" customHeight="1" x14ac:dyDescent="0.25">
      <c r="A10" s="1"/>
      <c r="B10" s="89" t="s">
        <v>36</v>
      </c>
      <c r="C10" s="7">
        <f>'Fane 11.1. Varige tillæg'!C20</f>
        <v>67462.455199999997</v>
      </c>
      <c r="D10" s="8" t="s">
        <v>3</v>
      </c>
      <c r="E10" s="1"/>
    </row>
    <row r="11" spans="1:5" ht="17.25" customHeight="1" x14ac:dyDescent="0.25">
      <c r="A11" s="1"/>
      <c r="B11" s="89" t="s">
        <v>37</v>
      </c>
      <c r="C11" s="9">
        <f>'Fane 11.1. Varige tillæg'!E20</f>
        <v>3466500.6484079999</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4876221.8007074101</v>
      </c>
      <c r="D16" s="8" t="s">
        <v>3</v>
      </c>
      <c r="E16" s="1"/>
    </row>
    <row r="17" spans="1:5" ht="17.25" customHeight="1" x14ac:dyDescent="0.25">
      <c r="A17" s="1"/>
      <c r="B17" s="89" t="s">
        <v>10</v>
      </c>
      <c r="C17" s="41">
        <f>-SUM(C9,C10:C16)*'Fane 5. Individuelt eff. krav'!G9</f>
        <v>-292531.63608969765</v>
      </c>
      <c r="D17" s="8" t="s">
        <v>3</v>
      </c>
      <c r="E17" s="1"/>
    </row>
    <row r="18" spans="1:5" ht="17.25" customHeight="1" x14ac:dyDescent="0.25">
      <c r="A18" s="1"/>
      <c r="B18" s="89" t="s">
        <v>23</v>
      </c>
      <c r="C18" s="41">
        <f>-'Fane 4.1. Gen. krav - drift'!G54</f>
        <v>-356033.95600963145</v>
      </c>
      <c r="D18" s="8" t="s">
        <v>3</v>
      </c>
      <c r="E18" s="1"/>
    </row>
    <row r="19" spans="1:5" ht="17.25" customHeight="1" x14ac:dyDescent="0.25">
      <c r="A19" s="1"/>
      <c r="B19" s="89" t="s">
        <v>24</v>
      </c>
      <c r="C19" s="41">
        <f>-'Fane 4.2. Gen. krav - anlæg'!G55</f>
        <v>0</v>
      </c>
      <c r="D19" s="8" t="s">
        <v>3</v>
      </c>
      <c r="E19" s="46"/>
    </row>
    <row r="20" spans="1:5" ht="17.25" customHeight="1" x14ac:dyDescent="0.25">
      <c r="A20" s="1"/>
      <c r="B20" s="83" t="s">
        <v>21</v>
      </c>
      <c r="C20" s="10">
        <f>SUM(C9:C19)</f>
        <v>64576935.920333453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37804498.818569601</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131313.00314577809</v>
      </c>
      <c r="D24" s="11" t="s">
        <v>3</v>
      </c>
      <c r="E24" s="1"/>
    </row>
    <row r="25" spans="1:5" ht="15" customHeight="1" x14ac:dyDescent="0.25">
      <c r="A25" s="1"/>
      <c r="B25" s="44" t="s">
        <v>73</v>
      </c>
      <c r="C25" s="42"/>
      <c r="D25" s="43"/>
      <c r="E25" s="1"/>
    </row>
    <row r="26" spans="1:5" ht="15" customHeight="1" x14ac:dyDescent="0.25">
      <c r="A26" s="1"/>
      <c r="B26" s="89" t="s">
        <v>158</v>
      </c>
      <c r="C26" s="65">
        <f>'Fane 11.2. Engangstillæg'!C14</f>
        <v>46666.739168</v>
      </c>
      <c r="D26" s="8" t="s">
        <v>3</v>
      </c>
      <c r="E26" s="1"/>
    </row>
    <row r="27" spans="1:5" ht="15" customHeight="1" x14ac:dyDescent="0.25">
      <c r="A27" s="1"/>
      <c r="B27" s="89" t="s">
        <v>70</v>
      </c>
      <c r="C27" s="73">
        <f>'Fane 11.2. Engangstillæg'!E14</f>
        <v>0</v>
      </c>
      <c r="D27" s="8" t="s">
        <v>3</v>
      </c>
      <c r="E27" s="1"/>
    </row>
    <row r="28" spans="1:5" ht="15" customHeight="1" x14ac:dyDescent="0.25">
      <c r="A28" s="1"/>
      <c r="B28" s="89" t="s">
        <v>161</v>
      </c>
      <c r="C28" s="73">
        <f>-C26*('Fane 15. Nøgletal'!C33+'Fane 5. Individuelt eff. krav'!G9)</f>
        <v>-1142.6317185040566</v>
      </c>
      <c r="D28" s="8" t="s">
        <v>3</v>
      </c>
      <c r="E28" s="1"/>
    </row>
    <row r="29" spans="1:5" ht="15" customHeight="1" x14ac:dyDescent="0.25">
      <c r="A29" s="1"/>
      <c r="B29" s="89" t="s">
        <v>162</v>
      </c>
      <c r="C29" s="73">
        <f>-C27*('Fane 15. Nøgletal'!C28+'Fane 5. Individuelt eff. krav'!G9)</f>
        <v>0</v>
      </c>
      <c r="D29" s="8" t="s">
        <v>3</v>
      </c>
      <c r="E29" s="1"/>
    </row>
    <row r="30" spans="1:5" ht="15" customHeight="1" x14ac:dyDescent="0.25">
      <c r="A30" s="1"/>
      <c r="B30" s="69" t="s">
        <v>75</v>
      </c>
      <c r="C30" s="10">
        <f>SUM(C26:C29)</f>
        <v>45524.107449495947</v>
      </c>
      <c r="D30" s="11" t="s">
        <v>3</v>
      </c>
      <c r="E30" s="1"/>
    </row>
    <row r="31" spans="1:5" x14ac:dyDescent="0.25">
      <c r="A31" s="1"/>
      <c r="B31" s="33" t="s">
        <v>116</v>
      </c>
      <c r="C31" s="28"/>
      <c r="D31" s="19"/>
      <c r="E31" s="1"/>
    </row>
    <row r="32" spans="1:5" x14ac:dyDescent="0.25">
      <c r="A32" s="1"/>
      <c r="B32" s="31" t="s">
        <v>138</v>
      </c>
      <c r="C32" s="10">
        <f>'Fane 7. Kontrol af ØR2022'!E31</f>
        <v>-1106261.5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3" t="s">
        <v>108</v>
      </c>
      <c r="C37" s="48">
        <f>SUM(C34,C32,C24,C30,C22,C20,C36)</f>
        <v>101452010.34949833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x7xhlcCh82R/votbkMRlvsA+4cWiLFdZkFgvw8drjkYoTBAVXcUNzXsz0qpj8CGX4Vml4JnDB8S36oAVmtBaVQ==" saltValue="cl31fLnnckCwew9VyMiql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4"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3">
        <v>0</v>
      </c>
      <c r="D27" s="1"/>
    </row>
    <row r="28" spans="1:4" x14ac:dyDescent="0.25">
      <c r="A28" s="1"/>
      <c r="B28" s="64"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7"/>
      <c r="B50" s="47"/>
      <c r="C50" s="47"/>
      <c r="D50" s="47"/>
    </row>
    <row r="51" spans="1:4" x14ac:dyDescent="0.25">
      <c r="A51" s="47"/>
      <c r="B51" s="47"/>
      <c r="C51" s="47"/>
      <c r="D51" s="47"/>
    </row>
    <row r="52" spans="1:4" x14ac:dyDescent="0.25">
      <c r="A52" s="47"/>
      <c r="B52" s="47"/>
      <c r="C52" s="47"/>
      <c r="D52" s="47"/>
    </row>
    <row r="53" spans="1:4" x14ac:dyDescent="0.25">
      <c r="A53" s="47"/>
      <c r="B53" s="47"/>
      <c r="C53" s="47"/>
      <c r="D53" s="47"/>
    </row>
  </sheetData>
  <sheetProtection algorithmName="SHA-512" hashValue="eQMeYSeXhs0vT/WeL6Mq/Z+mHjEr6tMVeEa49wpxP6+uZ7vZswZnKiRFbnhN8ryoRrrPBI2jAEKkEHVGls2UOw==" saltValue="dV3rCfQ5aWEWnN451GOxe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64576935.920333453</v>
      </c>
      <c r="D9" s="8" t="s">
        <v>3</v>
      </c>
      <c r="E9" s="1"/>
    </row>
    <row r="10" spans="1:5" ht="15" customHeight="1" x14ac:dyDescent="0.25">
      <c r="A10" s="1"/>
      <c r="B10" s="26" t="s">
        <v>19</v>
      </c>
      <c r="C10" s="7">
        <f>SUM(C9:C9)*'Fane 15. Nøgletal'!C16</f>
        <v>5217816.4223629432</v>
      </c>
      <c r="D10" s="8" t="s">
        <v>3</v>
      </c>
      <c r="E10" s="1"/>
    </row>
    <row r="11" spans="1:5" ht="15" customHeight="1" x14ac:dyDescent="0.25">
      <c r="A11" s="1"/>
      <c r="B11" s="26" t="s">
        <v>10</v>
      </c>
      <c r="C11" s="9">
        <f>-SUM(C9:C10)*'Fane 5. Individuelt eff. krav'!G9</f>
        <v>-313024.39413811901</v>
      </c>
      <c r="D11" s="8" t="s">
        <v>3</v>
      </c>
      <c r="E11" s="1"/>
    </row>
    <row r="12" spans="1:5" ht="15" customHeight="1" x14ac:dyDescent="0.25">
      <c r="A12" s="1"/>
      <c r="B12" s="26" t="s">
        <v>23</v>
      </c>
      <c r="C12" s="9">
        <f>-'Fane 4.1. Gen. krav - drift'!G59</f>
        <v>-377105.46966210543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69104622.478896186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40837885.939910024</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141923.09379995696</v>
      </c>
      <c r="D18" s="11" t="s">
        <v>3</v>
      </c>
      <c r="E18" s="1"/>
    </row>
    <row r="19" spans="1:5" x14ac:dyDescent="0.25">
      <c r="A19" s="1"/>
      <c r="B19" s="33" t="s">
        <v>116</v>
      </c>
      <c r="C19" s="28"/>
      <c r="D19" s="19"/>
      <c r="E19" s="1"/>
    </row>
    <row r="20" spans="1:5" ht="15" customHeight="1" x14ac:dyDescent="0.25">
      <c r="A20" s="1"/>
      <c r="B20" s="31" t="s">
        <v>138</v>
      </c>
      <c r="C20" s="10">
        <f>'Fane 7. Kontrol af ØR2022'!E31</f>
        <v>-1106261.5</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108978170.01260617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5OHR7DbdhMS4RobcURW39IdKS82LWBIWenKgTMqHDYLdopIK7ACydSobH7g5/2/bHdVkXNO8zfDjRC48HtgRQ==" saltValue="SpXipp7BPg8+daoCmyP9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69104622.478896186</v>
      </c>
      <c r="D9" s="8" t="s">
        <v>3</v>
      </c>
      <c r="E9" s="1"/>
    </row>
    <row r="10" spans="1:5" ht="15" customHeight="1" x14ac:dyDescent="0.25">
      <c r="A10" s="1"/>
      <c r="B10" s="26" t="s">
        <v>19</v>
      </c>
      <c r="C10" s="7">
        <f>SUM(C9:C9)*'Fane 15. Nøgletal'!C16</f>
        <v>5583653.4962948114</v>
      </c>
      <c r="D10" s="8" t="s">
        <v>3</v>
      </c>
      <c r="E10" s="1"/>
    </row>
    <row r="11" spans="1:5" ht="15" customHeight="1" x14ac:dyDescent="0.25">
      <c r="A11" s="1"/>
      <c r="B11" s="26" t="s">
        <v>10</v>
      </c>
      <c r="C11" s="9">
        <f>-SUM(C9:C10)*'Fane 5. Individuelt eff. krav'!G9</f>
        <v>-334971.49214831035</v>
      </c>
      <c r="D11" s="8" t="s">
        <v>3</v>
      </c>
      <c r="E11" s="1"/>
    </row>
    <row r="12" spans="1:5" ht="15" customHeight="1" x14ac:dyDescent="0.25">
      <c r="A12" s="1"/>
      <c r="B12" s="26" t="s">
        <v>23</v>
      </c>
      <c r="C12" s="9">
        <f>-'Fane 4.1. Gen. krav - drift'!G64</f>
        <v>-399424.0797785875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73953880.403264105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44116371.740654752</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153390.47977899347</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118223642.62369785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vNzsmKvpC8OW1FLctNqL8jKns5jnx4JHN8RzFTWeZ28I/IlvHixZULdyJA3FOy7a8ka+LmLkKHJMdNnwXHhUg==" saltValue="MK/Ie30klIXu+QS9t23Qu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73953880.403264105</v>
      </c>
      <c r="D9" s="8" t="s">
        <v>3</v>
      </c>
      <c r="E9" s="1"/>
      <c r="F9" s="1"/>
    </row>
    <row r="10" spans="1:6" ht="15" customHeight="1" x14ac:dyDescent="0.25">
      <c r="A10" s="1"/>
      <c r="B10" s="26" t="s">
        <v>19</v>
      </c>
      <c r="C10" s="7">
        <f>SUM(C9:C9)*'Fane 15. Nøgletal'!C16</f>
        <v>5975473.5365837393</v>
      </c>
      <c r="D10" s="8" t="s">
        <v>3</v>
      </c>
      <c r="E10" s="1"/>
      <c r="F10" s="1"/>
    </row>
    <row r="11" spans="1:6" ht="15" customHeight="1" x14ac:dyDescent="0.25">
      <c r="A11" s="1"/>
      <c r="B11" s="26" t="s">
        <v>10</v>
      </c>
      <c r="C11" s="9">
        <f>-SUM(C9:C10)*'Fane 5. Individuelt eff. krav'!G9</f>
        <v>-358477.34609076701</v>
      </c>
      <c r="D11" s="8" t="s">
        <v>3</v>
      </c>
      <c r="E11" s="1"/>
      <c r="F11" s="1"/>
    </row>
    <row r="12" spans="1:6" ht="15" customHeight="1" x14ac:dyDescent="0.25">
      <c r="A12" s="1"/>
      <c r="B12" s="26" t="s">
        <v>23</v>
      </c>
      <c r="C12" s="9">
        <f>-'Fane 4.1. Gen. krav - drift'!G69</f>
        <v>-423063.59451620339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79147812.999240875</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47397178.113299653</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165784.43054513613</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126710775.54308566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uGflKYU9awW9BD3E610D+/cjm1moL6wZMAfUmFKNumpPu187+vRwa4JppSV2Lnahx3Q9qLXB4X7d+U5xLqPWXQ==" saltValue="mZQeoqoDlEVnBibfz9nnO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51738450.404818006</v>
      </c>
      <c r="D9" s="8" t="s">
        <v>3</v>
      </c>
      <c r="E9" s="1"/>
    </row>
    <row r="10" spans="1:5" x14ac:dyDescent="0.25">
      <c r="A10" s="1"/>
      <c r="B10" s="89" t="s">
        <v>36</v>
      </c>
      <c r="C10" s="7">
        <v>650683.01400000008</v>
      </c>
      <c r="D10" s="8" t="s">
        <v>3</v>
      </c>
      <c r="E10" s="1"/>
    </row>
    <row r="11" spans="1:5" x14ac:dyDescent="0.25">
      <c r="A11" s="1"/>
      <c r="B11" s="89" t="s">
        <v>37</v>
      </c>
      <c r="C11" s="9">
        <v>6049714.2288000006</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409271.02817957941</v>
      </c>
      <c r="D16" s="8" t="s">
        <v>3</v>
      </c>
      <c r="E16" s="1"/>
    </row>
    <row r="17" spans="1:5" x14ac:dyDescent="0.25">
      <c r="A17" s="1"/>
      <c r="B17" s="89" t="s">
        <v>10</v>
      </c>
      <c r="C17" s="41">
        <v>-1090099.0455588493</v>
      </c>
      <c r="D17" s="8" t="s">
        <v>3</v>
      </c>
      <c r="E17" s="1"/>
    </row>
    <row r="18" spans="1:5" x14ac:dyDescent="0.25">
      <c r="A18" s="1"/>
      <c r="B18" s="89" t="s">
        <v>23</v>
      </c>
      <c r="C18" s="41">
        <v>-334763.07004073728</v>
      </c>
      <c r="D18" s="8" t="s">
        <v>3</v>
      </c>
      <c r="E18" s="1"/>
    </row>
    <row r="19" spans="1:5" x14ac:dyDescent="0.25">
      <c r="A19" s="1"/>
      <c r="B19" s="89" t="s">
        <v>24</v>
      </c>
      <c r="C19" s="41">
        <v>-607939.95208062162</v>
      </c>
      <c r="D19" s="8" t="s">
        <v>3</v>
      </c>
      <c r="E19" s="46"/>
    </row>
    <row r="20" spans="1:5" x14ac:dyDescent="0.25">
      <c r="A20" s="1"/>
      <c r="B20" s="83" t="s">
        <v>21</v>
      </c>
      <c r="C20" s="10">
        <v>56815316.608117372</v>
      </c>
      <c r="D20" s="11" t="s">
        <v>3</v>
      </c>
      <c r="E20" s="1"/>
    </row>
    <row r="21" spans="1:5" x14ac:dyDescent="0.25">
      <c r="A21" s="1"/>
      <c r="B21" s="33" t="s">
        <v>12</v>
      </c>
      <c r="C21" s="28"/>
      <c r="D21" s="19"/>
      <c r="E21" s="1"/>
    </row>
    <row r="22" spans="1:5" x14ac:dyDescent="0.25">
      <c r="A22" s="1"/>
      <c r="B22" s="31" t="s">
        <v>12</v>
      </c>
      <c r="C22" s="10">
        <v>39212658.402635522</v>
      </c>
      <c r="D22" s="11" t="s">
        <v>3</v>
      </c>
      <c r="E22" s="1"/>
    </row>
    <row r="23" spans="1:5" x14ac:dyDescent="0.25">
      <c r="A23" s="1"/>
      <c r="B23" s="33" t="s">
        <v>74</v>
      </c>
      <c r="C23" s="28"/>
      <c r="D23" s="19"/>
      <c r="E23" s="1"/>
    </row>
    <row r="24" spans="1:5" x14ac:dyDescent="0.25">
      <c r="A24" s="1"/>
      <c r="B24" s="83" t="s">
        <v>74</v>
      </c>
      <c r="C24" s="10">
        <v>118433.57090369747</v>
      </c>
      <c r="D24" s="11" t="s">
        <v>3</v>
      </c>
      <c r="E24" s="1"/>
    </row>
    <row r="25" spans="1:5" x14ac:dyDescent="0.25">
      <c r="A25" s="1"/>
      <c r="B25" s="44" t="s">
        <v>73</v>
      </c>
      <c r="C25" s="42"/>
      <c r="D25" s="43"/>
      <c r="E25" s="1"/>
    </row>
    <row r="26" spans="1:5" x14ac:dyDescent="0.25">
      <c r="A26" s="1"/>
      <c r="B26" s="89" t="s">
        <v>158</v>
      </c>
      <c r="C26" s="70">
        <v>6491540.9007460801</v>
      </c>
      <c r="D26" s="8" t="s">
        <v>3</v>
      </c>
      <c r="E26" s="1"/>
    </row>
    <row r="27" spans="1:5" x14ac:dyDescent="0.25">
      <c r="A27" s="1"/>
      <c r="B27" s="89" t="s">
        <v>70</v>
      </c>
      <c r="C27" s="70">
        <v>0</v>
      </c>
      <c r="D27" s="8" t="s">
        <v>3</v>
      </c>
      <c r="E27" s="1"/>
    </row>
    <row r="28" spans="1:5" x14ac:dyDescent="0.25">
      <c r="A28" s="1"/>
      <c r="B28" s="89" t="s">
        <v>161</v>
      </c>
      <c r="C28" s="70">
        <v>-250079.73504648422</v>
      </c>
      <c r="D28" s="8" t="s">
        <v>3</v>
      </c>
      <c r="E28" s="1"/>
    </row>
    <row r="29" spans="1:5" x14ac:dyDescent="0.25">
      <c r="A29" s="1"/>
      <c r="B29" s="89" t="s">
        <v>162</v>
      </c>
      <c r="C29" s="70">
        <v>0</v>
      </c>
      <c r="D29" s="8" t="s">
        <v>3</v>
      </c>
      <c r="E29" s="1"/>
    </row>
    <row r="30" spans="1:5" x14ac:dyDescent="0.25">
      <c r="A30" s="1"/>
      <c r="B30" s="69" t="s">
        <v>75</v>
      </c>
      <c r="C30" s="10">
        <v>6241461.1656995956</v>
      </c>
      <c r="D30" s="11" t="s">
        <v>3</v>
      </c>
      <c r="E30" s="1"/>
    </row>
    <row r="31" spans="1:5" x14ac:dyDescent="0.25">
      <c r="A31" s="1"/>
      <c r="B31" s="33" t="s">
        <v>116</v>
      </c>
      <c r="C31" s="28"/>
      <c r="D31" s="19"/>
      <c r="E31" s="1"/>
    </row>
    <row r="32" spans="1:5" x14ac:dyDescent="0.25">
      <c r="A32" s="1"/>
      <c r="B32" s="31" t="s">
        <v>138</v>
      </c>
      <c r="C32" s="10">
        <v>-4198859.6188930944</v>
      </c>
      <c r="D32" s="11" t="s">
        <v>3</v>
      </c>
      <c r="E32" s="1"/>
    </row>
    <row r="33" spans="1:5" x14ac:dyDescent="0.25">
      <c r="A33" s="1"/>
      <c r="B33" s="33" t="s">
        <v>266</v>
      </c>
      <c r="C33" s="28"/>
      <c r="D33" s="19"/>
      <c r="E33" s="1"/>
    </row>
    <row r="34" spans="1:5" x14ac:dyDescent="0.25">
      <c r="A34" s="1"/>
      <c r="B34" s="31" t="s">
        <v>266</v>
      </c>
      <c r="C34" s="10">
        <v>-2357237.3234515437</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8">
        <v>95831772.805011541</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Kz8Wl/zT5PqoHM7m915WAWGDBUkz6viDlFEEYnY3Bom6ntwUQ22FkuVXuYrrdL4LnHr0yd8uLBZIG2lXzcUFg==" saltValue="GRKDTShBnBBNcmZqFR3pn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8" t="s">
        <v>46</v>
      </c>
      <c r="C4" s="119"/>
      <c r="D4" s="119"/>
      <c r="E4" s="119"/>
      <c r="F4" s="119"/>
      <c r="G4" s="119"/>
      <c r="H4" s="120"/>
      <c r="I4" s="1"/>
    </row>
    <row r="5" spans="1:9" x14ac:dyDescent="0.25">
      <c r="A5" s="1"/>
      <c r="B5" s="121" t="s">
        <v>38</v>
      </c>
      <c r="C5" s="122"/>
      <c r="D5" s="122"/>
      <c r="E5" s="122"/>
      <c r="F5" s="123"/>
      <c r="G5" s="62">
        <v>16341627</v>
      </c>
      <c r="H5" s="14" t="s">
        <v>3</v>
      </c>
      <c r="I5" s="1"/>
    </row>
    <row r="6" spans="1:9" x14ac:dyDescent="0.25">
      <c r="A6" s="1"/>
      <c r="B6" s="115" t="s">
        <v>102</v>
      </c>
      <c r="C6" s="116"/>
      <c r="D6" s="116"/>
      <c r="E6" s="116"/>
      <c r="F6" s="117"/>
      <c r="G6" s="66">
        <v>341207</v>
      </c>
      <c r="H6" s="14" t="s">
        <v>3</v>
      </c>
      <c r="I6" s="1"/>
    </row>
    <row r="7" spans="1:9" x14ac:dyDescent="0.25">
      <c r="A7" s="1"/>
      <c r="B7" s="121" t="s">
        <v>39</v>
      </c>
      <c r="C7" s="122"/>
      <c r="D7" s="122"/>
      <c r="E7" s="122"/>
      <c r="F7" s="123"/>
      <c r="G7" s="23">
        <f>SUM(G5:G6)*'Fane 15. Nøgletal'!C33</f>
        <v>333656.68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16288109.800600002</v>
      </c>
      <c r="H11" s="14" t="s">
        <v>3</v>
      </c>
      <c r="I11" s="1"/>
    </row>
    <row r="12" spans="1:9" ht="15" customHeight="1" x14ac:dyDescent="0.25">
      <c r="A12" s="1"/>
      <c r="B12" s="121" t="s">
        <v>103</v>
      </c>
      <c r="C12" s="122"/>
      <c r="D12" s="122"/>
      <c r="E12" s="122"/>
      <c r="F12" s="123"/>
      <c r="G12" s="66">
        <v>0.64208514772355563</v>
      </c>
      <c r="H12" s="14" t="s">
        <v>3</v>
      </c>
      <c r="I12" s="1"/>
    </row>
    <row r="13" spans="1:9" x14ac:dyDescent="0.25">
      <c r="A13" s="1"/>
      <c r="B13" s="115" t="s">
        <v>100</v>
      </c>
      <c r="C13" s="116"/>
      <c r="D13" s="116"/>
      <c r="E13" s="116"/>
      <c r="F13" s="117"/>
      <c r="G13" s="66">
        <v>347178.1225</v>
      </c>
      <c r="H13" s="14" t="s">
        <v>3</v>
      </c>
      <c r="I13" s="1"/>
    </row>
    <row r="14" spans="1:9" x14ac:dyDescent="0.25">
      <c r="A14" s="1"/>
      <c r="B14" s="124" t="s">
        <v>244</v>
      </c>
      <c r="C14" s="125"/>
      <c r="D14" s="125"/>
      <c r="E14" s="125"/>
      <c r="F14" s="126"/>
      <c r="G14" s="66">
        <v>0</v>
      </c>
      <c r="H14" s="14" t="s">
        <v>3</v>
      </c>
      <c r="I14" s="1"/>
    </row>
    <row r="15" spans="1:9" x14ac:dyDescent="0.25">
      <c r="A15" s="1"/>
      <c r="B15" s="121" t="s">
        <v>41</v>
      </c>
      <c r="C15" s="122"/>
      <c r="D15" s="122"/>
      <c r="E15" s="122"/>
      <c r="F15" s="123"/>
      <c r="G15" s="23">
        <f>SUM(G11:G14)*'Fane 15. Nøgletal'!C33</f>
        <v>332705.77130370302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16234624.253130624</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324692.48506261251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16223357.423898952</v>
      </c>
      <c r="H25" s="14" t="s">
        <v>3</v>
      </c>
      <c r="I25" s="1"/>
    </row>
    <row r="26" spans="1:9" x14ac:dyDescent="0.25">
      <c r="A26" s="1"/>
      <c r="B26" s="124" t="s">
        <v>246</v>
      </c>
      <c r="C26" s="125"/>
      <c r="D26" s="125"/>
      <c r="E26" s="125"/>
      <c r="F26" s="126"/>
      <c r="G26" s="66">
        <v>72903.702142260008</v>
      </c>
      <c r="H26" s="14" t="s">
        <v>3</v>
      </c>
      <c r="I26" s="1"/>
    </row>
    <row r="27" spans="1:9" x14ac:dyDescent="0.25">
      <c r="A27" s="1"/>
      <c r="B27" s="121" t="s">
        <v>45</v>
      </c>
      <c r="C27" s="122"/>
      <c r="D27" s="122"/>
      <c r="E27" s="122"/>
      <c r="F27" s="123"/>
      <c r="G27" s="23">
        <f>(G25+G26)*'Fane 15. Nøgletal'!C33</f>
        <v>325925.22252082423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16284951.520819739</v>
      </c>
      <c r="H31" s="14" t="s">
        <v>3</v>
      </c>
      <c r="I31" s="1"/>
    </row>
    <row r="32" spans="1:9" x14ac:dyDescent="0.25">
      <c r="A32" s="1"/>
      <c r="B32" s="121" t="s">
        <v>243</v>
      </c>
      <c r="C32" s="122"/>
      <c r="D32" s="122"/>
      <c r="E32" s="122"/>
      <c r="F32" s="123"/>
      <c r="G32" s="62">
        <v>25633.187427960002</v>
      </c>
      <c r="H32" s="14" t="s">
        <v>3</v>
      </c>
      <c r="I32" s="1"/>
    </row>
    <row r="33" spans="1:9" x14ac:dyDescent="0.25">
      <c r="A33" s="1"/>
      <c r="B33" s="121" t="s">
        <v>54</v>
      </c>
      <c r="C33" s="122"/>
      <c r="D33" s="122"/>
      <c r="E33" s="122"/>
      <c r="F33" s="123"/>
      <c r="G33" s="23">
        <f>(G31+G32)*'Fane 15. Nøgletal'!C33</f>
        <v>326211.69416495401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16037121.44502922</v>
      </c>
      <c r="H37" s="14" t="s">
        <v>3</v>
      </c>
      <c r="I37" s="1"/>
    </row>
    <row r="38" spans="1:9" x14ac:dyDescent="0.25">
      <c r="A38" s="1"/>
      <c r="B38" s="121" t="s">
        <v>242</v>
      </c>
      <c r="C38" s="122"/>
      <c r="D38" s="122"/>
      <c r="E38" s="122"/>
      <c r="F38" s="123"/>
      <c r="G38" s="62">
        <v>301111.54196926003</v>
      </c>
      <c r="H38" s="14" t="s">
        <v>3</v>
      </c>
      <c r="I38" s="1"/>
    </row>
    <row r="39" spans="1:9" x14ac:dyDescent="0.25">
      <c r="A39" s="1"/>
      <c r="B39" s="121" t="s">
        <v>128</v>
      </c>
      <c r="C39" s="122"/>
      <c r="D39" s="122"/>
      <c r="E39" s="122"/>
      <c r="F39" s="123"/>
      <c r="G39" s="23">
        <f>(G37+G38)*'Fane 15. Nøgletal'!C33</f>
        <v>326764.65973996959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16064306.172738465</v>
      </c>
      <c r="H43" s="14" t="s">
        <v>3</v>
      </c>
      <c r="I43" s="1"/>
    </row>
    <row r="44" spans="1:9" x14ac:dyDescent="0.25">
      <c r="A44" s="1"/>
      <c r="B44" s="127" t="s">
        <v>157</v>
      </c>
      <c r="C44" s="128"/>
      <c r="D44" s="128"/>
      <c r="E44" s="128"/>
      <c r="F44" s="129"/>
      <c r="G44" s="72">
        <v>673847.32929840009</v>
      </c>
      <c r="H44" s="14" t="s">
        <v>3</v>
      </c>
      <c r="I44" s="1"/>
    </row>
    <row r="45" spans="1:9" x14ac:dyDescent="0.25">
      <c r="A45" s="1"/>
      <c r="B45" s="121" t="s">
        <v>129</v>
      </c>
      <c r="C45" s="122"/>
      <c r="D45" s="122"/>
      <c r="E45" s="122"/>
      <c r="F45" s="123"/>
      <c r="G45" s="23">
        <f>SUM(G43:G44)*'Fane 15. Nøgletal'!C33</f>
        <v>334763.07004073728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5"/>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17728784.378901411</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72913.421580159993</v>
      </c>
      <c r="H53" s="14" t="s">
        <v>3</v>
      </c>
      <c r="I53" s="1"/>
    </row>
    <row r="54" spans="1:9" x14ac:dyDescent="0.25">
      <c r="A54" s="1"/>
      <c r="B54" s="121" t="s">
        <v>210</v>
      </c>
      <c r="C54" s="122"/>
      <c r="D54" s="122"/>
      <c r="E54" s="122"/>
      <c r="F54" s="123"/>
      <c r="G54" s="23">
        <f>(G52)*'Fane 15. Nøgletal'!C33+(G53)*'Fane 15. Nøgletal'!C33</f>
        <v>356033.95600963145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9" t="s">
        <v>212</v>
      </c>
      <c r="C58" s="80"/>
      <c r="D58" s="80"/>
      <c r="E58" s="80"/>
      <c r="F58" s="81"/>
      <c r="G58" s="23">
        <f>(G52+G53-G54)*(1+'Fane 15. Nøgletal'!C16)</f>
        <v>18855273.483105272</v>
      </c>
      <c r="H58" s="14" t="s">
        <v>3</v>
      </c>
      <c r="I58" s="1"/>
    </row>
    <row r="59" spans="1:9" x14ac:dyDescent="0.25">
      <c r="A59" s="1"/>
      <c r="B59" s="79" t="s">
        <v>211</v>
      </c>
      <c r="C59" s="80"/>
      <c r="D59" s="80"/>
      <c r="E59" s="80"/>
      <c r="F59" s="81"/>
      <c r="G59" s="23">
        <f>(G58)*'Fane 15. Nøgletal'!C33</f>
        <v>377105.46966210543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9" t="s">
        <v>213</v>
      </c>
      <c r="C63" s="80"/>
      <c r="D63" s="80"/>
      <c r="E63" s="80"/>
      <c r="F63" s="81"/>
      <c r="G63" s="23">
        <f>(G58-G59)*(1+'Fane 15. Nøgletal'!C16)</f>
        <v>19971203.988929376</v>
      </c>
      <c r="H63" s="14" t="s">
        <v>3</v>
      </c>
      <c r="I63" s="1"/>
    </row>
    <row r="64" spans="1:9" x14ac:dyDescent="0.25">
      <c r="A64" s="1"/>
      <c r="B64" s="79" t="s">
        <v>214</v>
      </c>
      <c r="C64" s="80"/>
      <c r="D64" s="80"/>
      <c r="E64" s="80"/>
      <c r="F64" s="81"/>
      <c r="G64" s="23">
        <f>(G63)*'Fane 15. Nøgletal'!C33</f>
        <v>399424.0797785875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9" t="s">
        <v>213</v>
      </c>
      <c r="C68" s="80"/>
      <c r="D68" s="80"/>
      <c r="E68" s="80"/>
      <c r="F68" s="81"/>
      <c r="G68" s="23">
        <f>(G63-G64)*(1+'Fane 15. Nøgletal'!C16)</f>
        <v>21153179.72581017</v>
      </c>
      <c r="H68" s="14" t="s">
        <v>3</v>
      </c>
      <c r="I68" s="1"/>
    </row>
    <row r="69" spans="1:9" x14ac:dyDescent="0.25">
      <c r="A69" s="1"/>
      <c r="B69" s="79" t="s">
        <v>214</v>
      </c>
      <c r="C69" s="80"/>
      <c r="D69" s="80"/>
      <c r="E69" s="80"/>
      <c r="F69" s="81"/>
      <c r="G69" s="23">
        <f>(G68)*'Fane 15. Nøgletal'!C33</f>
        <v>423063.59451620339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0"/>
      <c r="B74" s="60"/>
      <c r="C74" s="60"/>
      <c r="D74" s="60"/>
      <c r="E74" s="60"/>
      <c r="F74" s="60"/>
      <c r="G74" s="60"/>
      <c r="H74" s="60"/>
      <c r="I74" s="60"/>
    </row>
    <row r="75" spans="1:9" x14ac:dyDescent="0.25">
      <c r="A75" s="60"/>
      <c r="B75" s="60"/>
      <c r="C75" s="60"/>
      <c r="D75" s="60"/>
      <c r="E75" s="60"/>
      <c r="F75" s="60"/>
      <c r="G75" s="60"/>
      <c r="H75" s="60"/>
      <c r="I75" s="60"/>
    </row>
    <row r="76" spans="1:9" x14ac:dyDescent="0.25">
      <c r="A76" s="60"/>
      <c r="B76" s="60"/>
      <c r="C76" s="60"/>
      <c r="D76" s="60"/>
      <c r="E76" s="60"/>
      <c r="F76" s="60"/>
      <c r="G76" s="60"/>
      <c r="H76" s="60"/>
      <c r="I76" s="60"/>
    </row>
    <row r="77" spans="1:9" x14ac:dyDescent="0.25">
      <c r="A77" s="60"/>
      <c r="B77" s="60"/>
      <c r="C77" s="60"/>
      <c r="D77" s="60"/>
      <c r="E77" s="60"/>
      <c r="F77" s="60"/>
      <c r="G77" s="60"/>
      <c r="H77" s="60"/>
      <c r="I77" s="60"/>
    </row>
    <row r="78" spans="1:9" x14ac:dyDescent="0.25">
      <c r="A78" s="60"/>
      <c r="B78" s="60"/>
      <c r="C78" s="60"/>
      <c r="D78" s="60"/>
      <c r="E78" s="60"/>
      <c r="F78" s="60"/>
      <c r="G78" s="60"/>
      <c r="H78" s="60"/>
      <c r="I78" s="60"/>
    </row>
    <row r="79" spans="1:9" x14ac:dyDescent="0.25">
      <c r="A79" s="60"/>
      <c r="B79" s="60"/>
      <c r="C79" s="60"/>
      <c r="D79" s="60"/>
      <c r="E79" s="60"/>
      <c r="F79" s="60"/>
      <c r="G79" s="60"/>
      <c r="H79" s="60"/>
      <c r="I79" s="60"/>
    </row>
    <row r="80" spans="1:9" x14ac:dyDescent="0.25">
      <c r="A80" s="60"/>
      <c r="B80" s="60"/>
      <c r="C80" s="60"/>
      <c r="D80" s="60"/>
      <c r="E80" s="60"/>
      <c r="F80" s="60"/>
      <c r="G80" s="60"/>
      <c r="H80" s="60"/>
      <c r="I80" s="60"/>
    </row>
    <row r="81" spans="1:9" x14ac:dyDescent="0.25">
      <c r="A81" s="60"/>
      <c r="B81" s="60"/>
      <c r="C81" s="60"/>
      <c r="D81" s="60"/>
      <c r="E81" s="60"/>
      <c r="F81" s="60"/>
      <c r="G81" s="60"/>
      <c r="H81" s="60"/>
      <c r="I81" s="60"/>
    </row>
    <row r="82" spans="1:9" x14ac:dyDescent="0.25">
      <c r="A82" s="60"/>
      <c r="B82" s="60"/>
      <c r="C82" s="60"/>
      <c r="D82" s="60"/>
      <c r="E82" s="60"/>
      <c r="F82" s="60"/>
      <c r="G82" s="60"/>
      <c r="H82" s="60"/>
      <c r="I82" s="60"/>
    </row>
    <row r="83" spans="1:9" x14ac:dyDescent="0.25">
      <c r="A83" s="60"/>
      <c r="B83" s="60"/>
      <c r="C83" s="60"/>
      <c r="D83" s="60"/>
      <c r="E83" s="60"/>
      <c r="F83" s="60"/>
      <c r="G83" s="60"/>
      <c r="H83" s="60"/>
      <c r="I83" s="60"/>
    </row>
    <row r="84" spans="1:9" x14ac:dyDescent="0.25">
      <c r="A84" s="60"/>
      <c r="B84" s="60"/>
      <c r="C84" s="60"/>
      <c r="D84" s="60"/>
      <c r="E84" s="60"/>
      <c r="F84" s="60"/>
      <c r="G84" s="60"/>
      <c r="H84" s="60"/>
      <c r="I84" s="60"/>
    </row>
    <row r="85" spans="1:9" x14ac:dyDescent="0.25">
      <c r="A85" s="60"/>
      <c r="B85" s="60"/>
      <c r="C85" s="60"/>
      <c r="D85" s="60"/>
      <c r="E85" s="60"/>
      <c r="F85" s="60"/>
      <c r="G85" s="60"/>
      <c r="H85" s="60"/>
      <c r="I85" s="60"/>
    </row>
    <row r="86" spans="1:9" x14ac:dyDescent="0.25">
      <c r="A86" s="60"/>
      <c r="B86" s="60"/>
      <c r="C86" s="60"/>
      <c r="D86" s="60"/>
      <c r="E86" s="60"/>
      <c r="F86" s="60"/>
      <c r="G86" s="60"/>
      <c r="H86" s="60"/>
      <c r="I86" s="60"/>
    </row>
    <row r="87" spans="1:9" x14ac:dyDescent="0.25">
      <c r="A87" s="60"/>
      <c r="B87" s="60"/>
      <c r="C87" s="60"/>
      <c r="D87" s="60"/>
      <c r="E87" s="60"/>
      <c r="F87" s="60"/>
      <c r="G87" s="60"/>
      <c r="H87" s="60"/>
      <c r="I87" s="60"/>
    </row>
    <row r="88" spans="1:9" x14ac:dyDescent="0.25">
      <c r="A88" s="60"/>
      <c r="B88" s="60"/>
      <c r="C88" s="60"/>
      <c r="D88" s="60"/>
      <c r="E88" s="60"/>
      <c r="F88" s="60"/>
      <c r="G88" s="60"/>
      <c r="H88" s="60"/>
      <c r="I88" s="60"/>
    </row>
    <row r="89" spans="1:9" x14ac:dyDescent="0.25">
      <c r="A89" s="60"/>
      <c r="B89" s="60"/>
      <c r="C89" s="60"/>
      <c r="D89" s="60"/>
      <c r="E89" s="60"/>
      <c r="F89" s="60"/>
      <c r="G89" s="60"/>
      <c r="H89" s="60"/>
      <c r="I89" s="60"/>
    </row>
    <row r="90" spans="1:9" x14ac:dyDescent="0.25">
      <c r="A90" s="60"/>
      <c r="B90" s="60"/>
      <c r="C90" s="60"/>
      <c r="D90" s="60"/>
      <c r="E90" s="60"/>
      <c r="F90" s="60"/>
      <c r="G90" s="60"/>
      <c r="H90" s="60"/>
      <c r="I90" s="60"/>
    </row>
    <row r="91" spans="1:9" x14ac:dyDescent="0.25">
      <c r="A91" s="60"/>
      <c r="B91" s="60"/>
      <c r="C91" s="60"/>
      <c r="D91" s="60"/>
      <c r="E91" s="60"/>
      <c r="F91" s="60"/>
      <c r="G91" s="60"/>
      <c r="H91" s="60"/>
      <c r="I91" s="60"/>
    </row>
    <row r="92" spans="1:9" x14ac:dyDescent="0.25">
      <c r="A92" s="60"/>
      <c r="B92" s="60"/>
      <c r="C92" s="60"/>
      <c r="D92" s="60"/>
      <c r="E92" s="60"/>
      <c r="F92" s="60"/>
      <c r="G92" s="60"/>
      <c r="H92" s="60"/>
      <c r="I92" s="60"/>
    </row>
    <row r="93" spans="1:9" x14ac:dyDescent="0.25">
      <c r="A93" s="60"/>
      <c r="B93" s="60"/>
      <c r="C93" s="60"/>
      <c r="D93" s="60"/>
      <c r="E93" s="60"/>
      <c r="F93" s="60"/>
      <c r="G93" s="60"/>
      <c r="H93" s="60"/>
      <c r="I93" s="60"/>
    </row>
    <row r="94" spans="1:9" x14ac:dyDescent="0.25">
      <c r="A94" s="60"/>
      <c r="B94" s="60"/>
      <c r="C94" s="60"/>
      <c r="D94" s="60"/>
      <c r="E94" s="60"/>
      <c r="F94" s="60"/>
      <c r="G94" s="60"/>
      <c r="H94" s="60"/>
      <c r="I94" s="60"/>
    </row>
    <row r="95" spans="1:9" x14ac:dyDescent="0.25">
      <c r="A95" s="60"/>
      <c r="B95" s="60"/>
      <c r="C95" s="60"/>
      <c r="D95" s="60"/>
      <c r="E95" s="60"/>
      <c r="F95" s="60"/>
      <c r="G95" s="60"/>
      <c r="H95" s="60"/>
      <c r="I95" s="60"/>
    </row>
    <row r="96" spans="1:9" x14ac:dyDescent="0.25">
      <c r="A96" s="60"/>
      <c r="B96" s="60"/>
      <c r="C96" s="60"/>
      <c r="D96" s="60"/>
      <c r="E96" s="60"/>
      <c r="F96" s="60"/>
      <c r="G96" s="60"/>
      <c r="H96" s="60"/>
      <c r="I96" s="60"/>
    </row>
    <row r="97" spans="1:9" x14ac:dyDescent="0.25">
      <c r="A97" s="60"/>
      <c r="B97" s="60"/>
      <c r="C97" s="60"/>
      <c r="D97" s="60"/>
      <c r="E97" s="60"/>
      <c r="F97" s="60"/>
      <c r="G97" s="60"/>
      <c r="H97" s="60"/>
      <c r="I97" s="60"/>
    </row>
    <row r="98" spans="1:9" x14ac:dyDescent="0.25">
      <c r="A98" s="60"/>
      <c r="B98" s="60"/>
      <c r="C98" s="60"/>
      <c r="D98" s="60"/>
      <c r="E98" s="60"/>
      <c r="F98" s="60"/>
      <c r="G98" s="60"/>
      <c r="H98" s="60"/>
      <c r="I98" s="60"/>
    </row>
    <row r="99" spans="1:9" x14ac:dyDescent="0.25">
      <c r="A99" s="60"/>
      <c r="B99" s="60"/>
      <c r="C99" s="60"/>
      <c r="D99" s="60"/>
      <c r="E99" s="60"/>
      <c r="F99" s="60"/>
      <c r="G99" s="60"/>
      <c r="H99" s="60"/>
      <c r="I99" s="60"/>
    </row>
  </sheetData>
  <sheetProtection algorithmName="SHA-512" hashValue="wbjCLfPzAuQeILRzdywK3/55sBOwxhgbCrbl0lSBF1D2FF1BkVE4mKOc0ZzTs13Nv1ZFrwUb/hL6+yd0TzpXdA==" saltValue="5plxBS6IPY2rJoeqvPlJ+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2">
        <v>36651127</v>
      </c>
      <c r="H5" s="14" t="s">
        <v>3</v>
      </c>
      <c r="I5" s="1"/>
    </row>
    <row r="6" spans="1:9" x14ac:dyDescent="0.25">
      <c r="A6" s="1"/>
      <c r="B6" s="121" t="s">
        <v>51</v>
      </c>
      <c r="C6" s="122"/>
      <c r="D6" s="122"/>
      <c r="E6" s="122"/>
      <c r="F6" s="123"/>
      <c r="G6" s="23">
        <f>G5*'Fane 15. Nøgletal'!C21</f>
        <v>333525.25570000004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36953159.774825253</v>
      </c>
      <c r="H10" s="14" t="s">
        <v>3</v>
      </c>
      <c r="I10" s="1"/>
    </row>
    <row r="11" spans="1:9" x14ac:dyDescent="0.25">
      <c r="A11" s="1"/>
      <c r="B11" s="121" t="s">
        <v>104</v>
      </c>
      <c r="C11" s="122"/>
      <c r="D11" s="122"/>
      <c r="E11" s="122"/>
      <c r="F11" s="123"/>
      <c r="G11" s="62">
        <v>-737756.4879159698</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641012.63817829429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36196942.485083781</v>
      </c>
      <c r="H17" s="14" t="s">
        <v>3</v>
      </c>
      <c r="I17" s="1"/>
    </row>
    <row r="18" spans="1:9" x14ac:dyDescent="0.25">
      <c r="A18" s="1"/>
      <c r="B18" s="124" t="s">
        <v>248</v>
      </c>
      <c r="C18" s="125"/>
      <c r="D18" s="125"/>
      <c r="E18" s="125"/>
      <c r="F18" s="126"/>
      <c r="G18" s="62">
        <v>564660.1275417814</v>
      </c>
      <c r="H18" s="14" t="s">
        <v>3</v>
      </c>
      <c r="I18" s="1"/>
    </row>
    <row r="19" spans="1:9" x14ac:dyDescent="0.25">
      <c r="A19" s="1"/>
      <c r="B19" s="121" t="s">
        <v>61</v>
      </c>
      <c r="C19" s="122"/>
      <c r="D19" s="122"/>
      <c r="E19" s="122"/>
      <c r="F19" s="123"/>
      <c r="G19" s="23">
        <f>G17*'Fane 15. Nøgletal'!C22+G18*'Fane 15. Nøgletal'!C23</f>
        <v>645598.42509559647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36827489.47002431</v>
      </c>
      <c r="H23" s="14" t="s">
        <v>3</v>
      </c>
      <c r="I23" s="1"/>
    </row>
    <row r="24" spans="1:9" x14ac:dyDescent="0.25">
      <c r="A24" s="1"/>
      <c r="B24" s="124" t="s">
        <v>249</v>
      </c>
      <c r="C24" s="125"/>
      <c r="D24" s="125"/>
      <c r="E24" s="125"/>
      <c r="F24" s="126"/>
      <c r="G24" s="62">
        <v>1327728.6929763351</v>
      </c>
      <c r="H24" s="14" t="s">
        <v>3</v>
      </c>
      <c r="I24" s="1"/>
    </row>
    <row r="25" spans="1:9" x14ac:dyDescent="0.25">
      <c r="A25" s="1"/>
      <c r="B25" s="121" t="s">
        <v>64</v>
      </c>
      <c r="C25" s="122"/>
      <c r="D25" s="122"/>
      <c r="E25" s="122"/>
      <c r="F25" s="123"/>
      <c r="G25" s="23">
        <f>(G23+G24)*'Fane 15. Nøgletal'!C24</f>
        <v>1083608.1958292183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37801920.683524705</v>
      </c>
      <c r="H29" s="14" t="s">
        <v>3</v>
      </c>
      <c r="I29" s="1"/>
    </row>
    <row r="30" spans="1:9" x14ac:dyDescent="0.25">
      <c r="A30" s="1"/>
      <c r="B30" s="121" t="s">
        <v>250</v>
      </c>
      <c r="C30" s="122"/>
      <c r="D30" s="122"/>
      <c r="E30" s="122"/>
      <c r="F30" s="123"/>
      <c r="G30" s="62">
        <v>3475630.3064716798</v>
      </c>
      <c r="H30" s="14" t="s">
        <v>3</v>
      </c>
      <c r="I30" s="1"/>
    </row>
    <row r="31" spans="1:9" x14ac:dyDescent="0.25">
      <c r="A31" s="1"/>
      <c r="B31" s="121" t="s">
        <v>67</v>
      </c>
      <c r="C31" s="122"/>
      <c r="D31" s="122"/>
      <c r="E31" s="122"/>
      <c r="F31" s="123"/>
      <c r="G31" s="23">
        <f>G29*'Fane 15. Nøgletal'!C24+G30*'Fane 15. Nøgletal'!C25</f>
        <v>1169154.3808400729</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40240754.317966536</v>
      </c>
      <c r="H35" s="14" t="s">
        <v>3</v>
      </c>
      <c r="I35" s="1"/>
    </row>
    <row r="36" spans="1:9" x14ac:dyDescent="0.25">
      <c r="A36" s="1"/>
      <c r="B36" s="121" t="s">
        <v>251</v>
      </c>
      <c r="C36" s="122"/>
      <c r="D36" s="122"/>
      <c r="E36" s="122"/>
      <c r="F36" s="123"/>
      <c r="G36" s="62">
        <v>1316204.1353284002</v>
      </c>
      <c r="H36" s="14" t="s">
        <v>3</v>
      </c>
      <c r="I36" s="1"/>
    </row>
    <row r="37" spans="1:9" x14ac:dyDescent="0.25">
      <c r="A37" s="1"/>
      <c r="B37" s="121" t="s">
        <v>131</v>
      </c>
      <c r="C37" s="122"/>
      <c r="D37" s="122"/>
      <c r="E37" s="122"/>
      <c r="F37" s="123"/>
      <c r="G37" s="23">
        <f>(G35+G36)*'Fane 15. Nøgletal'!C26</f>
        <v>615042.98510876507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41077023.789231189</v>
      </c>
      <c r="H41" s="14" t="s">
        <v>3</v>
      </c>
      <c r="I41" s="1"/>
    </row>
    <row r="42" spans="1:9" x14ac:dyDescent="0.25">
      <c r="A42" s="1"/>
      <c r="B42" s="40" t="s">
        <v>156</v>
      </c>
      <c r="C42" s="80"/>
      <c r="D42" s="80"/>
      <c r="E42" s="80"/>
      <c r="F42" s="81"/>
      <c r="G42" s="23">
        <v>6265084.055345281</v>
      </c>
      <c r="H42" s="14" t="s">
        <v>3</v>
      </c>
      <c r="I42" s="1"/>
    </row>
    <row r="43" spans="1:9" x14ac:dyDescent="0.25">
      <c r="A43" s="1"/>
      <c r="B43" s="121" t="s">
        <v>132</v>
      </c>
      <c r="C43" s="122"/>
      <c r="D43" s="122"/>
      <c r="E43" s="122"/>
      <c r="F43" s="123"/>
      <c r="G43" s="23">
        <f>(G41)*'Fane 15. Nøgletal'!C26+G42*'Fane 15. Nøgletal'!C27</f>
        <v>607939.95208062162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50510288.65820951</v>
      </c>
      <c r="H53" s="14" t="s">
        <v>3</v>
      </c>
      <c r="I53" s="1"/>
    </row>
    <row r="54" spans="1:9" x14ac:dyDescent="0.25">
      <c r="A54" s="1"/>
      <c r="B54" s="79" t="s">
        <v>195</v>
      </c>
      <c r="C54" s="80"/>
      <c r="D54" s="80"/>
      <c r="E54" s="80"/>
      <c r="F54" s="81"/>
      <c r="G54" s="23">
        <f>('Fane 2.1. Økonomisk ramme 2024'!C11+'Fane 2.1. Økonomisk ramme 2024'!C13+'Fane 2.1. Økonomisk ramme 2024'!C15)*(1+'Fane 15. Nøgletal'!C16)</f>
        <v>3746593.9007993662</v>
      </c>
      <c r="H54" s="14" t="s">
        <v>3</v>
      </c>
      <c r="I54" s="1"/>
    </row>
    <row r="55" spans="1:9" x14ac:dyDescent="0.25">
      <c r="A55" s="1"/>
      <c r="B55" s="121" t="s">
        <v>218</v>
      </c>
      <c r="C55" s="122"/>
      <c r="D55" s="122"/>
      <c r="E55" s="122"/>
      <c r="F55" s="123"/>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58640838.66977679</v>
      </c>
      <c r="H59" s="14" t="s">
        <v>3</v>
      </c>
      <c r="I59" s="1"/>
    </row>
    <row r="60" spans="1:9" x14ac:dyDescent="0.25">
      <c r="A60" s="1"/>
      <c r="B60" s="121" t="s">
        <v>220</v>
      </c>
      <c r="C60" s="122"/>
      <c r="D60" s="122"/>
      <c r="E60" s="122"/>
      <c r="F60" s="123"/>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63379018.434294753</v>
      </c>
      <c r="H64" s="14" t="s">
        <v>3</v>
      </c>
      <c r="I64" s="1"/>
    </row>
    <row r="65" spans="1:9" x14ac:dyDescent="0.25">
      <c r="A65" s="1"/>
      <c r="B65" s="121" t="s">
        <v>222</v>
      </c>
      <c r="C65" s="122"/>
      <c r="D65" s="122"/>
      <c r="E65" s="122"/>
      <c r="F65" s="123"/>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68500043.123785764</v>
      </c>
      <c r="H69" s="14" t="s">
        <v>3</v>
      </c>
      <c r="I69" s="1"/>
    </row>
    <row r="70" spans="1:9" x14ac:dyDescent="0.25">
      <c r="A70" s="1"/>
      <c r="B70" s="121" t="s">
        <v>222</v>
      </c>
      <c r="C70" s="122"/>
      <c r="D70" s="122"/>
      <c r="E70" s="122"/>
      <c r="F70" s="123"/>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0"/>
      <c r="B75" s="60"/>
      <c r="C75" s="60"/>
      <c r="D75" s="60"/>
      <c r="E75" s="60"/>
      <c r="F75" s="60"/>
      <c r="G75" s="60"/>
      <c r="H75" s="60"/>
      <c r="I75" s="60"/>
    </row>
    <row r="76" spans="1:9" x14ac:dyDescent="0.25">
      <c r="A76" s="60"/>
      <c r="B76" s="60"/>
      <c r="C76" s="60"/>
      <c r="D76" s="60"/>
      <c r="E76" s="60"/>
      <c r="F76" s="60"/>
      <c r="G76" s="60"/>
      <c r="H76" s="60"/>
      <c r="I76" s="60"/>
    </row>
    <row r="77" spans="1:9" x14ac:dyDescent="0.25">
      <c r="A77" s="60"/>
      <c r="B77" s="60"/>
      <c r="C77" s="60"/>
      <c r="D77" s="60"/>
      <c r="E77" s="60"/>
      <c r="F77" s="60"/>
      <c r="G77" s="60"/>
      <c r="H77" s="60"/>
      <c r="I77" s="60"/>
    </row>
    <row r="78" spans="1:9" x14ac:dyDescent="0.25">
      <c r="A78" s="60"/>
      <c r="B78" s="60"/>
      <c r="C78" s="60"/>
      <c r="D78" s="60"/>
      <c r="E78" s="60"/>
      <c r="F78" s="60"/>
      <c r="G78" s="60"/>
      <c r="H78" s="60"/>
      <c r="I78" s="60"/>
    </row>
    <row r="79" spans="1:9" x14ac:dyDescent="0.25">
      <c r="A79" s="60"/>
      <c r="B79" s="60"/>
      <c r="C79" s="60"/>
      <c r="D79" s="60"/>
      <c r="E79" s="60"/>
      <c r="F79" s="60"/>
      <c r="G79" s="60"/>
      <c r="H79" s="60"/>
      <c r="I79" s="60"/>
    </row>
    <row r="80" spans="1:9" x14ac:dyDescent="0.25">
      <c r="A80" s="60"/>
      <c r="B80" s="60"/>
      <c r="C80" s="60"/>
      <c r="D80" s="60"/>
      <c r="E80" s="60"/>
      <c r="F80" s="60"/>
      <c r="G80" s="60"/>
      <c r="H80" s="60"/>
      <c r="I80" s="60"/>
    </row>
    <row r="81" spans="1:9" x14ac:dyDescent="0.25">
      <c r="A81" s="60"/>
      <c r="B81" s="60"/>
      <c r="C81" s="60"/>
      <c r="D81" s="60"/>
      <c r="E81" s="60"/>
      <c r="F81" s="60"/>
      <c r="G81" s="60"/>
      <c r="H81" s="60"/>
      <c r="I81" s="60"/>
    </row>
    <row r="82" spans="1:9" x14ac:dyDescent="0.25">
      <c r="A82" s="60"/>
      <c r="B82" s="60"/>
      <c r="C82" s="60"/>
      <c r="D82" s="60"/>
      <c r="E82" s="60"/>
      <c r="F82" s="60"/>
      <c r="G82" s="60"/>
      <c r="H82" s="60"/>
      <c r="I82" s="60"/>
    </row>
    <row r="83" spans="1:9" x14ac:dyDescent="0.25">
      <c r="A83" s="60"/>
      <c r="B83" s="60"/>
      <c r="C83" s="60"/>
      <c r="D83" s="60"/>
      <c r="E83" s="60"/>
      <c r="F83" s="60"/>
      <c r="G83" s="60"/>
      <c r="H83" s="60"/>
      <c r="I83" s="60"/>
    </row>
    <row r="84" spans="1:9" x14ac:dyDescent="0.25">
      <c r="A84" s="60"/>
      <c r="B84" s="60"/>
      <c r="C84" s="60"/>
      <c r="D84" s="60"/>
      <c r="E84" s="60"/>
      <c r="F84" s="60"/>
      <c r="G84" s="60"/>
      <c r="H84" s="60"/>
      <c r="I84" s="60"/>
    </row>
    <row r="85" spans="1:9" x14ac:dyDescent="0.25">
      <c r="A85" s="60"/>
      <c r="B85" s="60"/>
      <c r="C85" s="60"/>
      <c r="D85" s="60"/>
      <c r="E85" s="60"/>
      <c r="F85" s="60"/>
      <c r="G85" s="60"/>
      <c r="H85" s="60"/>
      <c r="I85" s="60"/>
    </row>
    <row r="86" spans="1:9" x14ac:dyDescent="0.25">
      <c r="A86" s="60"/>
      <c r="B86" s="60"/>
      <c r="C86" s="60"/>
      <c r="D86" s="60"/>
      <c r="E86" s="60"/>
      <c r="F86" s="60"/>
      <c r="G86" s="60"/>
      <c r="H86" s="60"/>
      <c r="I86" s="60"/>
    </row>
    <row r="87" spans="1:9" x14ac:dyDescent="0.25">
      <c r="A87" s="60"/>
      <c r="B87" s="60"/>
      <c r="C87" s="60"/>
      <c r="D87" s="60"/>
      <c r="E87" s="60"/>
      <c r="F87" s="60"/>
      <c r="G87" s="60"/>
      <c r="H87" s="60"/>
      <c r="I87" s="60"/>
    </row>
    <row r="88" spans="1:9" x14ac:dyDescent="0.25">
      <c r="A88" s="60"/>
      <c r="B88" s="60"/>
      <c r="C88" s="60"/>
      <c r="D88" s="60"/>
      <c r="E88" s="60"/>
      <c r="F88" s="60"/>
      <c r="G88" s="60"/>
      <c r="H88" s="60"/>
      <c r="I88" s="60"/>
    </row>
    <row r="89" spans="1:9" x14ac:dyDescent="0.25">
      <c r="A89" s="60"/>
      <c r="B89" s="60"/>
      <c r="C89" s="60"/>
      <c r="D89" s="60"/>
      <c r="E89" s="60"/>
      <c r="F89" s="60"/>
      <c r="G89" s="60"/>
      <c r="H89" s="60"/>
      <c r="I89" s="60"/>
    </row>
    <row r="90" spans="1:9" x14ac:dyDescent="0.25">
      <c r="A90" s="60"/>
      <c r="B90" s="60"/>
      <c r="C90" s="60"/>
      <c r="D90" s="60"/>
      <c r="E90" s="60"/>
      <c r="F90" s="60"/>
      <c r="G90" s="60"/>
      <c r="H90" s="60"/>
      <c r="I90" s="60"/>
    </row>
    <row r="91" spans="1:9" x14ac:dyDescent="0.25">
      <c r="A91" s="60"/>
      <c r="B91" s="60"/>
      <c r="C91" s="60"/>
      <c r="D91" s="60"/>
      <c r="E91" s="60"/>
      <c r="F91" s="60"/>
      <c r="G91" s="60"/>
      <c r="H91" s="60"/>
      <c r="I91" s="60"/>
    </row>
    <row r="92" spans="1:9" x14ac:dyDescent="0.25">
      <c r="A92" s="60"/>
      <c r="B92" s="60"/>
      <c r="C92" s="60"/>
      <c r="D92" s="60"/>
      <c r="E92" s="60"/>
      <c r="F92" s="60"/>
      <c r="G92" s="60"/>
      <c r="H92" s="60"/>
      <c r="I92" s="60"/>
    </row>
    <row r="93" spans="1:9" x14ac:dyDescent="0.25">
      <c r="A93" s="60"/>
      <c r="B93" s="60"/>
      <c r="C93" s="60"/>
      <c r="D93" s="60"/>
      <c r="E93" s="60"/>
      <c r="F93" s="60"/>
      <c r="G93" s="60"/>
      <c r="H93" s="60"/>
      <c r="I93" s="60"/>
    </row>
    <row r="94" spans="1:9" x14ac:dyDescent="0.25">
      <c r="A94" s="60"/>
      <c r="B94" s="60"/>
      <c r="C94" s="60"/>
      <c r="D94" s="60"/>
      <c r="E94" s="60"/>
      <c r="F94" s="60"/>
      <c r="G94" s="60"/>
      <c r="H94" s="60"/>
      <c r="I94" s="60"/>
    </row>
    <row r="95" spans="1:9" x14ac:dyDescent="0.25">
      <c r="A95" s="60"/>
      <c r="B95" s="60"/>
      <c r="C95" s="60"/>
      <c r="D95" s="60"/>
      <c r="E95" s="60"/>
      <c r="F95" s="60"/>
      <c r="G95" s="60"/>
      <c r="H95" s="60"/>
      <c r="I95" s="60"/>
    </row>
    <row r="96" spans="1:9" x14ac:dyDescent="0.25">
      <c r="A96" s="60"/>
      <c r="B96" s="60"/>
      <c r="C96" s="60"/>
      <c r="D96" s="60"/>
      <c r="E96" s="60"/>
      <c r="F96" s="60"/>
      <c r="G96" s="60"/>
      <c r="H96" s="60"/>
      <c r="I96" s="60"/>
    </row>
    <row r="97" spans="1:9" x14ac:dyDescent="0.25">
      <c r="A97" s="60"/>
      <c r="B97" s="60"/>
      <c r="C97" s="60"/>
      <c r="D97" s="60"/>
      <c r="E97" s="60"/>
      <c r="F97" s="60"/>
      <c r="G97" s="60"/>
      <c r="H97" s="60"/>
      <c r="I97" s="60"/>
    </row>
    <row r="98" spans="1:9" x14ac:dyDescent="0.25">
      <c r="A98" s="60"/>
      <c r="B98" s="60"/>
      <c r="C98" s="60"/>
      <c r="D98" s="60"/>
      <c r="E98" s="60"/>
      <c r="F98" s="60"/>
      <c r="G98" s="60"/>
      <c r="H98" s="60"/>
      <c r="I98" s="60"/>
    </row>
    <row r="99" spans="1:9" x14ac:dyDescent="0.25">
      <c r="A99" s="60"/>
      <c r="B99" s="60"/>
      <c r="C99" s="60"/>
      <c r="D99" s="60"/>
      <c r="E99" s="60"/>
      <c r="F99" s="60"/>
      <c r="G99" s="60"/>
      <c r="H99" s="60"/>
      <c r="I99" s="60"/>
    </row>
    <row r="100" spans="1:9" x14ac:dyDescent="0.25">
      <c r="A100" s="60"/>
      <c r="B100" s="60"/>
      <c r="C100" s="60"/>
      <c r="D100" s="60"/>
      <c r="E100" s="60"/>
      <c r="F100" s="60"/>
      <c r="G100" s="60"/>
      <c r="H100" s="60"/>
      <c r="I100" s="60"/>
    </row>
  </sheetData>
  <sheetProtection algorithmName="SHA-512" hashValue="Fa3JZQ0laESM/ay/R33yJz0bTOTgjmY+ymCAochnYLVSgCcrhc8OLIoDlbE8VH2p5hUvxRAJ9Ip56bmJyDrw4w==" saltValue="4BcztZbAK883U0UZrOjW8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4.4849273567323595E-3</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O1z166En13FkXWLhvLRjaNp30Ab7et6GepMHBuTZLk/1JNx0U5K5heAmWAEdbFD2jfJxHcD/Hn++aVGkMagkKQ==" saltValue="bAzl+1C99qNTlXdhBGl3l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2024-02-12T12:47:20Z</dcterms:modified>
</cp:coreProperties>
</file>