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illerød Vand AS (V081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58" i="11" l="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C18" i="19" l="1"/>
  <c r="E31" i="32" l="1"/>
  <c r="E16" i="27" l="1"/>
  <c r="E56" i="11" l="1"/>
  <c r="E57" i="11"/>
  <c r="E10" i="11"/>
  <c r="E15" i="32" l="1"/>
  <c r="E7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3" i="32"/>
  <c r="E37" i="32" s="1"/>
  <c r="E39" i="32" s="1"/>
  <c r="C24" i="15" l="1"/>
  <c r="C28" i="2"/>
  <c r="F58" i="11"/>
  <c r="C10" i="37" s="1"/>
  <c r="C13" i="37" s="1"/>
  <c r="G58" i="11"/>
  <c r="C14" i="37" l="1"/>
  <c r="C10" i="2" s="1"/>
  <c r="E11" i="21"/>
  <c r="E12" i="21" s="1"/>
  <c r="C11" i="21"/>
  <c r="C12" i="21" s="1"/>
  <c r="E11" i="29"/>
  <c r="E12" i="29" s="1"/>
  <c r="C11" i="29"/>
  <c r="C12" i="29" s="1"/>
  <c r="C19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0" i="37"/>
  <c r="E13" i="37" s="1"/>
  <c r="G35" i="30" l="1"/>
  <c r="G37" i="30" s="1"/>
  <c r="C18" i="2"/>
  <c r="E14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29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<sst xmlns="http://schemas.openxmlformats.org/spreadsheetml/2006/main" count="741" uniqueCount="302">
  <si>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</si>
  <si>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</si>
  <si>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</si>
  <si>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</si>
  <si>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</si>
  <si>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</si>
  <si>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</si>
  <si>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</si>
  <si>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</si>
  <si>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</si>
  <si>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</si>
  <si>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</si>
  <si>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</si>
  <si>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</si>
  <si>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</si>
  <si>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</si>
  <si>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</si>
  <si>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</si>
  <si>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</si>
  <si>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</si>
  <si>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</si>
  <si>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</si>
  <si>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</si>
  <si>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</si>
  <si>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</si>
  <si>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</si>
  <si>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</si>
  <si>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</si>
  <si>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</si>
  <si>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</si>
  <si>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</si>
  <si>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</si>
  <si>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</si>
  <si>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</si>
  <si>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</si>
  <si>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</si>
  <si>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</si>
  <si>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</si>
  <si>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</si>
  <si>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</si>
  <si>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</si>
  <si>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</si>
  <si>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</si>
  <si>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</si>
  <si>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</si>
  <si>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</si>
  <si>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</si>
  <si>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</si>
  <si>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</si>
  <si>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</si>
  <si>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</si>
  <si>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</si>
  <si>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</si>
  <si>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</si>
  <si>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</si>
  <si>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</si>
  <si>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</si>
  <si>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</si>
  <si>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</si>
  <si>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</si>
  <si>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</si>
  <si>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</si>
  <si>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</si>
  <si>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</si>
  <si>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</si>
  <si>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</si>
  <si>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</si>
  <si>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</si>
  <si>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</si>
  <si>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</si>
  <si>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</si>
  <si>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</si>
  <si>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</si>
  <si>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</si>
  <si>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</si>
  <si>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</si>
  <si>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</si>
  <si>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</si>
  <si>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</si>
  <si>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</si>
  <si>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</si>
  <si>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</si>
  <si>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</si>
  <si>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</si>
  <si>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</si>
  <si>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</si>
  <si>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</si>
  <si>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</si>
  <si>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</si>
  <si>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</si>
  <si>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</si>
  <si>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</si>
  <si>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</si>
  <si>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</si>
  <si>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</si>
  <si>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</si>
  <si>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</si>
  <si>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</si>
  <si>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</si>
  <si>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</si>
  <si>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</si>
  <si>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</si>
  <si>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</si>
  <si>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</si>
  <si>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</si>
  <si>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</si>
  <si>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</si>
  <si>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</si>
  <si>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</si>
  <si>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</si>
  <si>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</si>
  <si>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</si>
  <si>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</si>
  <si>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</si>
  <si>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</si>
  <si>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</si>
  <si>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</si>
  <si>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</si>
  <si>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</si>
  <si>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</si>
  <si>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</si>
  <si>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</si>
  <si>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</si>
  <si>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</si>
  <si>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</si>
  <si>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</si>
  <si>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</si>
  <si>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</si>
  <si>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</si>
  <si>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</si>
  <si>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</si>
  <si>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</si>
  <si>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</si>
  <si>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</si>
  <si>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</si>
  <si>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</si>
  <si>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</si>
  <si>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</si>
  <si>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</si>
  <si>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</si>
  <si>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</si>
  <si>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</si>
  <si>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</si>
  <si>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</si>
  <si>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</si>
  <si>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</si>
  <si>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</si>
  <si>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</si>
  <si>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</si>
  <si>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</si>
  <si>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</si>
  <si>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</si>
  <si>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</si>
  <si>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</si>
  <si>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</si>
  <si>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</si>
  <si>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</si>
  <si>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</si>
  <si>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</si>
  <si>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</si>
  <si>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</si>
  <si>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</si>
  <si>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</si>
  <si>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</si>
  <si>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</si>
  <si>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</si>
  <si>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</si>
  <si>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</si>
  <si>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</si>
  <si>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</si>
  <si>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</si>
  <si>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</si>
  <si>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</si>
  <si>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</si>
  <si>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</si>
  <si>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</si>
  <si>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</si>
  <si>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</si>
  <si>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</si>
  <si>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</si>
  <si>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</si>
  <si>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</si>
  <si>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</si>
  <si>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</si>
  <si>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</si>
  <si>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</si>
  <si>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</si>
  <si>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</si>
  <si>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</si>
  <si>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</si>
  <si>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</si>
  <si>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</si>
  <si>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</si>
  <si>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</si>
  <si>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</si>
  <si>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</si>
  <si>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</si>
  <si>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</si>
  <si>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</si>
  <si>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</si>
  <si>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</si>
  <si>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</si>
  <si>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</si>
  <si>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</si>
  <si>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</si>
  <si>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</si>
  <si>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</si>
  <si>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</si>
  <si>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</si>
  <si>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</si>
  <si>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</si>
  <si>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</si>
  <si>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</si>
  <si>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</si>
  <si>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</si>
  <si>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</si>
  <si>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</si>
  <si>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</si>
  <si>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</si>
  <si>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</si>
  <si>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</si>
  <si>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</si>
  <si>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</si>
  <si>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</si>
  <si>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</si>
  <si>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</si>
  <si>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</si>
  <si>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</si>
  <si>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</si>
  <si>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</si>
  <si>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</si>
  <si>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</si>
  <si>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</si>
  <si>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</si>
  <si>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</si>
  <si>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</si>
  <si>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</si>
  <si>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</si>
  <si>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Selskabsskatter</t>
  </si>
  <si>
    <t>Tjenestemandspensioner</t>
  </si>
  <si>
    <t>Erstatninger</t>
  </si>
  <si>
    <t>Vandsamarbejde etableret i medfør af § 52b i vandforsyningsloven</t>
  </si>
  <si>
    <t>Ingen tilknyttet virksomhed</t>
  </si>
  <si>
    <t>Ingen bortfald eller nedsættelse</t>
  </si>
  <si>
    <t>Udvidelse af forsyningsområde</t>
  </si>
  <si>
    <t>UV-belysning</t>
  </si>
  <si>
    <t>Inspektion af rentvandstank</t>
  </si>
  <si>
    <t>Ingen engangstillæg</t>
  </si>
  <si>
    <t>Økonomisk ramme for 2024</t>
  </si>
  <si>
    <t>Administrationbygninger</t>
  </si>
  <si>
    <t>75</t>
  </si>
  <si>
    <t>Arbejdsplads</t>
  </si>
  <si>
    <t>5</t>
  </si>
  <si>
    <t>Byggemodning Solrødgård, belysning</t>
  </si>
  <si>
    <t>30</t>
  </si>
  <si>
    <t>Byggemodning Solrødgård, beplantning</t>
  </si>
  <si>
    <t>40</t>
  </si>
  <si>
    <t>Byggemodning Solrødgård, elledninger</t>
  </si>
  <si>
    <t>Byggemodning Solrødgård, brønde</t>
  </si>
  <si>
    <t>Byggemodning Solrødgård, varmeledninger</t>
  </si>
  <si>
    <t>Byggemodning Solrødgård, lyssignaler</t>
  </si>
  <si>
    <t>Byggemodning Solrødgård, bro nr. 1</t>
  </si>
  <si>
    <t>50</t>
  </si>
  <si>
    <t>Byggemodning Solrødgård, bro nr. 2</t>
  </si>
  <si>
    <t>Byggemodning Solrødgård, bro nr. 3</t>
  </si>
  <si>
    <t>Byggemodning Solrødgård, bro nr. 4</t>
  </si>
  <si>
    <t>Byggemodning Solrødgård, bro nr. 5</t>
  </si>
  <si>
    <t>Byggemodning Solrødgård, bro nr. 6</t>
  </si>
  <si>
    <t>Byggemodning Solrødgård, bro nr. 7</t>
  </si>
  <si>
    <t>Byggemodning Solrødgård, sti nr. 1, 5, 15, 16, 17, 18</t>
  </si>
  <si>
    <t>20</t>
  </si>
  <si>
    <t>Byggemodning Solrødgård, sti nr. 2</t>
  </si>
  <si>
    <t>Byggemodning Solrødgård, sti nr. 6 og 11</t>
  </si>
  <si>
    <t>Byggemodning Solrødgård, sti nr. 7</t>
  </si>
  <si>
    <t>Byggemodning Solrødgård, sti nr. 8 og 9</t>
  </si>
  <si>
    <t>Byggemodning Solrødgård, sti nr. 12 og 14</t>
  </si>
  <si>
    <t>Byggemodning Solrødgård, fugletårn</t>
  </si>
  <si>
    <t>Byggemodning Solrødgård, stamvej</t>
  </si>
  <si>
    <t>Byggemodning Solrødgård, vejbelysning</t>
  </si>
  <si>
    <t>Byggemodning Solrødgård, flagermushotel</t>
  </si>
  <si>
    <t>Byggemodning Solrødgård, hotspots</t>
  </si>
  <si>
    <t>10</t>
  </si>
  <si>
    <t>KMC Solrødgård, facade</t>
  </si>
  <si>
    <t>KMC Solrødgård, tag</t>
  </si>
  <si>
    <t>KMC Solrødgård, grønt tag</t>
  </si>
  <si>
    <t>15</t>
  </si>
  <si>
    <t>KMC Solrødgård, gulve</t>
  </si>
  <si>
    <t>KMC Solrødgård, vinduer og døre</t>
  </si>
  <si>
    <t>KMC Solrødgård, inventar</t>
  </si>
  <si>
    <t>KMC Solrødgård, sprinkler</t>
  </si>
  <si>
    <t>KMC Solrødgård, VVS</t>
  </si>
  <si>
    <t>KMC Solrødgård, el</t>
  </si>
  <si>
    <t>KMC Solrødgård, ventilation</t>
  </si>
  <si>
    <t>KMC Solrødgård, CTS-anlæg</t>
  </si>
  <si>
    <t>KMC Solrødgård, udearealer</t>
  </si>
  <si>
    <t>KMC Solrødgård, it</t>
  </si>
  <si>
    <t>KMC Solrødgård, indvendige vægge og lofter</t>
  </si>
  <si>
    <t>KMC Solrødgård, lagerreol</t>
  </si>
  <si>
    <t>KMC Solrødgård, lagerlift</t>
  </si>
  <si>
    <t>KMC Solrødgård, brandsikring på døre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</si>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</sst>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6" t="s">
        <v>4</v>
      </c>
      <c r="E6" s="66"/>
      <c r="F6" s="66"/>
      <c r="G6" s="66"/>
      <c r="H6" s="3"/>
      <c r="I6" s="1"/>
    </row>
    <row r="7" spans="1:9" ht="15" customHeight="1" x14ac:dyDescent="0.45">
      <c r="A7" s="1"/>
      <c r="B7" s="1"/>
      <c r="C7" s="3"/>
      <c r="D7" s="66"/>
      <c r="E7" s="66"/>
      <c r="F7" s="66"/>
      <c r="G7" s="66"/>
      <c r="H7" s="3"/>
      <c r="I7" s="1"/>
    </row>
    <row r="8" spans="1:9" ht="15.75" x14ac:dyDescent="0.5">
      <c r="A8" s="1"/>
      <c r="B8" s="1"/>
      <c r="C8" s="4"/>
      <c r="D8" s="68" t="s">
        <v>206</v>
      </c>
      <c r="E8" s="68"/>
      <c r="F8" s="68"/>
      <c r="G8" s="68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3" t="s">
        <v>151</v>
      </c>
      <c r="E13" s="64"/>
      <c r="F13" s="64"/>
      <c r="G13" s="65"/>
      <c r="H13" s="1"/>
      <c r="I13" s="1"/>
    </row>
    <row r="14" spans="1:9" x14ac:dyDescent="0.45">
      <c r="A14" s="1"/>
      <c r="B14" s="1"/>
      <c r="C14" s="6" t="s">
        <v>15</v>
      </c>
      <c r="D14" s="63" t="s">
        <v>207</v>
      </c>
      <c r="E14" s="64"/>
      <c r="F14" s="64"/>
      <c r="G14" s="65"/>
      <c r="H14" s="1"/>
      <c r="I14" s="1"/>
    </row>
    <row r="15" spans="1:9" x14ac:dyDescent="0.45">
      <c r="A15" s="1"/>
      <c r="B15" s="1"/>
      <c r="C15" s="6" t="s">
        <v>40</v>
      </c>
      <c r="D15" s="63" t="s">
        <v>93</v>
      </c>
      <c r="E15" s="64"/>
      <c r="F15" s="64"/>
      <c r="G15" s="65"/>
      <c r="H15" s="1"/>
      <c r="I15" s="1"/>
    </row>
    <row r="16" spans="1:9" x14ac:dyDescent="0.45">
      <c r="A16" s="1"/>
      <c r="B16" s="1"/>
      <c r="C16" s="6" t="s">
        <v>41</v>
      </c>
      <c r="D16" s="63" t="s">
        <v>152</v>
      </c>
      <c r="E16" s="64"/>
      <c r="F16" s="64"/>
      <c r="G16" s="65"/>
      <c r="H16" s="1"/>
      <c r="I16" s="1"/>
    </row>
    <row r="17" spans="1:9" x14ac:dyDescent="0.45">
      <c r="A17" s="1"/>
      <c r="B17" s="1"/>
      <c r="C17" s="6" t="s">
        <v>150</v>
      </c>
      <c r="D17" s="63" t="s">
        <v>153</v>
      </c>
      <c r="E17" s="64"/>
      <c r="F17" s="64"/>
      <c r="G17" s="65"/>
      <c r="H17" s="1"/>
      <c r="I17" s="1"/>
    </row>
    <row r="18" spans="1:9" x14ac:dyDescent="0.45">
      <c r="A18" s="1"/>
      <c r="B18" s="1"/>
      <c r="C18" s="33" t="s">
        <v>134</v>
      </c>
      <c r="D18" s="69" t="s">
        <v>114</v>
      </c>
      <c r="E18" s="70"/>
      <c r="F18" s="70"/>
      <c r="G18" s="71"/>
      <c r="H18" s="1"/>
      <c r="I18" s="1"/>
    </row>
    <row r="19" spans="1:9" x14ac:dyDescent="0.45">
      <c r="A19" s="1"/>
      <c r="B19" s="1"/>
      <c r="C19" s="33" t="s">
        <v>135</v>
      </c>
      <c r="D19" s="69" t="s">
        <v>115</v>
      </c>
      <c r="E19" s="70"/>
      <c r="F19" s="70"/>
      <c r="G19" s="71"/>
      <c r="H19" s="1"/>
      <c r="I19" s="1"/>
    </row>
    <row r="20" spans="1:9" x14ac:dyDescent="0.45">
      <c r="A20" s="1"/>
      <c r="B20" s="1"/>
      <c r="C20" s="33" t="s">
        <v>7</v>
      </c>
      <c r="D20" s="69" t="s">
        <v>9</v>
      </c>
      <c r="E20" s="70"/>
      <c r="F20" s="70"/>
      <c r="G20" s="71"/>
      <c r="H20" s="1"/>
      <c r="I20" s="1"/>
    </row>
    <row r="21" spans="1:9" x14ac:dyDescent="0.45">
      <c r="A21" s="1"/>
      <c r="B21" s="1"/>
      <c r="C21" s="6" t="s">
        <v>136</v>
      </c>
      <c r="D21" s="60" t="s">
        <v>12</v>
      </c>
      <c r="E21" s="61"/>
      <c r="F21" s="61"/>
      <c r="G21" s="62"/>
      <c r="H21" s="1"/>
      <c r="I21" s="1"/>
    </row>
    <row r="22" spans="1:9" x14ac:dyDescent="0.45">
      <c r="A22" s="1"/>
      <c r="B22" s="1"/>
      <c r="C22" s="6" t="s">
        <v>97</v>
      </c>
      <c r="D22" s="54" t="s">
        <v>154</v>
      </c>
      <c r="E22" s="55"/>
      <c r="F22" s="55"/>
      <c r="G22" s="56"/>
      <c r="H22" s="1"/>
      <c r="I22" s="1"/>
    </row>
    <row r="23" spans="1:9" x14ac:dyDescent="0.45">
      <c r="A23" s="1"/>
      <c r="B23" s="1"/>
      <c r="C23" s="6" t="s">
        <v>8</v>
      </c>
      <c r="D23" s="54" t="s">
        <v>42</v>
      </c>
      <c r="E23" s="55"/>
      <c r="F23" s="55"/>
      <c r="G23" s="56"/>
      <c r="H23" s="1"/>
      <c r="I23" s="1"/>
    </row>
    <row r="24" spans="1:9" x14ac:dyDescent="0.45">
      <c r="A24" s="1"/>
      <c r="B24" s="1"/>
      <c r="C24" s="6" t="s">
        <v>217</v>
      </c>
      <c r="D24" s="54" t="s">
        <v>98</v>
      </c>
      <c r="E24" s="55"/>
      <c r="F24" s="55"/>
      <c r="G24" s="56"/>
      <c r="H24" s="1"/>
      <c r="I24" s="1"/>
    </row>
    <row r="25" spans="1:9" x14ac:dyDescent="0.45">
      <c r="A25" s="1"/>
      <c r="B25" s="1"/>
      <c r="C25" s="6" t="s">
        <v>218</v>
      </c>
      <c r="D25" s="54" t="s">
        <v>99</v>
      </c>
      <c r="E25" s="55"/>
      <c r="F25" s="55"/>
      <c r="G25" s="56"/>
      <c r="H25" s="1"/>
      <c r="I25" s="1"/>
    </row>
    <row r="26" spans="1:9" x14ac:dyDescent="0.45">
      <c r="A26" s="1"/>
      <c r="B26" s="1"/>
      <c r="C26" s="6" t="s">
        <v>219</v>
      </c>
      <c r="D26" s="54" t="s">
        <v>155</v>
      </c>
      <c r="E26" s="55"/>
      <c r="F26" s="55"/>
      <c r="G26" s="56"/>
      <c r="H26" s="1"/>
      <c r="I26" s="1"/>
    </row>
    <row r="27" spans="1:9" x14ac:dyDescent="0.45">
      <c r="A27" s="1"/>
      <c r="B27" s="1"/>
      <c r="C27" s="6" t="s">
        <v>137</v>
      </c>
      <c r="D27" s="54" t="s">
        <v>43</v>
      </c>
      <c r="E27" s="55"/>
      <c r="F27" s="55"/>
      <c r="G27" s="56"/>
      <c r="H27" s="1"/>
      <c r="I27" s="1"/>
    </row>
    <row r="28" spans="1:9" x14ac:dyDescent="0.45">
      <c r="A28" s="1"/>
      <c r="B28" s="1"/>
      <c r="C28" s="6" t="s">
        <v>128</v>
      </c>
      <c r="D28" s="57" t="s">
        <v>129</v>
      </c>
      <c r="E28" s="58"/>
      <c r="F28" s="58"/>
      <c r="G28" s="59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5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2" t="s">
        <v>140</v>
      </c>
      <c r="C3" s="72"/>
      <c r="D3" s="72"/>
      <c r="E3" s="1"/>
      <c r="F3" s="1"/>
    </row>
    <row r="4" spans="1:6" ht="15" customHeight="1" x14ac:dyDescent="0.45">
      <c r="A4" s="1"/>
      <c r="B4" s="72"/>
      <c r="C4" s="72"/>
      <c r="D4" s="7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5" t="s">
        <v>168</v>
      </c>
      <c r="C8" s="96"/>
      <c r="D8" s="97"/>
      <c r="E8" s="1"/>
      <c r="F8" s="1"/>
    </row>
    <row r="9" spans="1:6" ht="15" customHeight="1" x14ac:dyDescent="0.45">
      <c r="A9" s="1"/>
      <c r="B9" s="40" t="s">
        <v>35</v>
      </c>
      <c r="C9" s="11" t="s">
        <v>171</v>
      </c>
      <c r="D9" s="11"/>
      <c r="E9" s="1"/>
      <c r="F9" s="1"/>
    </row>
    <row r="10" spans="1:6" ht="15" customHeight="1" x14ac:dyDescent="0.45">
      <c r="A10" s="1"/>
      <c r="B10" s="48" t="s">
        <v>234</v>
      </c>
      <c r="C10" s="9">
        <v>12639786</v>
      </c>
      <c r="D10" s="14" t="s">
        <v>3</v>
      </c>
      <c r="E10" s="1"/>
      <c r="F10" s="1"/>
    </row>
    <row r="11" spans="1:6" ht="15" customHeight="1" x14ac:dyDescent="0.45">
      <c r="A11" s="1"/>
      <c r="B11" s="48" t="s">
        <v>235</v>
      </c>
      <c r="C11" s="9">
        <v>73098</v>
      </c>
      <c r="D11" s="14" t="s">
        <v>3</v>
      </c>
      <c r="E11" s="1"/>
      <c r="F11" s="1"/>
    </row>
    <row r="12" spans="1:6" ht="15" customHeight="1" x14ac:dyDescent="0.45">
      <c r="A12" s="1"/>
      <c r="B12" s="48" t="s">
        <v>236</v>
      </c>
      <c r="C12" s="9">
        <v>493671</v>
      </c>
      <c r="D12" s="14" t="s">
        <v>3</v>
      </c>
      <c r="E12" s="1"/>
      <c r="F12" s="1"/>
    </row>
    <row r="13" spans="1:6" ht="15" customHeight="1" x14ac:dyDescent="0.45">
      <c r="A13" s="1"/>
      <c r="B13" s="48" t="s">
        <v>237</v>
      </c>
      <c r="C13" s="9">
        <v>137096</v>
      </c>
      <c r="D13" s="14" t="s">
        <v>3</v>
      </c>
      <c r="E13" s="1"/>
      <c r="F13" s="1"/>
    </row>
    <row r="14" spans="1:6" ht="15" customHeight="1" x14ac:dyDescent="0.45">
      <c r="A14" s="1"/>
      <c r="B14" s="48" t="s">
        <v>238</v>
      </c>
      <c r="C14" s="9">
        <v>307000</v>
      </c>
      <c r="D14" s="14" t="s">
        <v>3</v>
      </c>
      <c r="E14" s="1"/>
      <c r="F14" s="1"/>
    </row>
    <row r="15" spans="1:6" x14ac:dyDescent="0.45">
      <c r="A15" s="1"/>
      <c r="B15" s="48" t="s">
        <v>239</v>
      </c>
      <c r="C15" s="9">
        <v>28846</v>
      </c>
      <c r="D15" s="14" t="s">
        <v>3</v>
      </c>
      <c r="E15" s="1"/>
      <c r="F15" s="1"/>
    </row>
    <row r="16" spans="1:6" x14ac:dyDescent="0.45">
      <c r="A16" s="1"/>
      <c r="B16" s="48" t="s">
        <v>240</v>
      </c>
      <c r="C16" s="9">
        <v>133983</v>
      </c>
      <c r="D16" s="14" t="s">
        <v>3</v>
      </c>
      <c r="E16" s="1"/>
      <c r="F16" s="1"/>
    </row>
    <row r="17" spans="1:6" x14ac:dyDescent="0.45">
      <c r="A17" s="1"/>
      <c r="B17" s="48" t="s">
        <v>241</v>
      </c>
      <c r="C17" s="9">
        <v>105370</v>
      </c>
      <c r="D17" s="14" t="s">
        <v>3</v>
      </c>
      <c r="E17" s="1"/>
      <c r="F17" s="1"/>
    </row>
    <row r="18" spans="1:6" x14ac:dyDescent="0.45">
      <c r="A18" s="1"/>
      <c r="B18" s="45" t="s">
        <v>169</v>
      </c>
      <c r="C18" s="12">
        <f>SUM(C10:C17)</f>
        <v>13918850</v>
      </c>
      <c r="D18" s="13" t="s">
        <v>3</v>
      </c>
      <c r="E18" s="1"/>
      <c r="F18" s="1"/>
    </row>
    <row r="19" spans="1:6" x14ac:dyDescent="0.45">
      <c r="A19" s="1"/>
      <c r="B19" s="45" t="s">
        <v>170</v>
      </c>
      <c r="C19" s="12">
        <f>C18*(1+'Fane 12. Nøgletal'!C13)^2</f>
        <v>14260541.621634001</v>
      </c>
      <c r="D19" s="13" t="s">
        <v>3</v>
      </c>
      <c r="E19" s="1"/>
      <c r="F19" s="1"/>
    </row>
    <row r="20" spans="1:6" x14ac:dyDescent="0.45">
      <c r="A20" s="1"/>
      <c r="B20" s="16"/>
      <c r="C20" s="15"/>
      <c r="D20" s="15"/>
      <c r="E20" s="1"/>
      <c r="F20" s="1"/>
    </row>
    <row r="21" spans="1:6" x14ac:dyDescent="0.45">
      <c r="A21" s="1"/>
      <c r="B21" s="16"/>
      <c r="C21" s="15"/>
      <c r="D21" s="15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  <row r="53" spans="1:6" x14ac:dyDescent="0.45">
      <c r="A53" s="1"/>
      <c r="B53" s="1"/>
      <c r="C53" s="1"/>
      <c r="D53" s="1"/>
      <c r="E53" s="1"/>
      <c r="F53" s="1"/>
    </row>
    <row r="54" spans="1:6" x14ac:dyDescent="0.45">
      <c r="A54" s="1"/>
      <c r="B54" s="1"/>
      <c r="C54" s="1"/>
      <c r="D54" s="1"/>
      <c r="E54" s="1"/>
      <c r="F54" s="1"/>
    </row>
    <row r="55" spans="1:6" x14ac:dyDescent="0.45">
      <c r="A55" s="1"/>
      <c r="B55" s="1"/>
      <c r="C55" s="1"/>
      <c r="D55" s="1"/>
      <c r="E55" s="1"/>
      <c r="F55" s="1"/>
    </row>
  </sheetData>
  <sheetProtection algorithmName="SHA-512" hashValue="vSsdbb0UqlgzRGjPU0vzz3WCeGD5tmmluv4e+uo2Rf1STdPjG7KUMe3FkXA9SMFslMmoqFfI4btYjU9b2kGQMA==" saltValue="O36EoGzpv7kklmhhD1FwN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ht="29.25" customHeight="1" x14ac:dyDescent="0.45">
      <c r="A2" s="1"/>
      <c r="B2" s="82" t="s">
        <v>172</v>
      </c>
      <c r="C2" s="82"/>
      <c r="D2" s="82"/>
      <c r="E2" s="82"/>
      <c r="F2" s="82"/>
      <c r="G2" s="1"/>
    </row>
    <row r="3" spans="1:7" ht="15" customHeight="1" x14ac:dyDescent="0.45">
      <c r="A3" s="1"/>
      <c r="B3" s="82"/>
      <c r="C3" s="82"/>
      <c r="D3" s="82"/>
      <c r="E3" s="82"/>
      <c r="F3" s="82"/>
      <c r="G3" s="1"/>
    </row>
    <row r="4" spans="1:7" ht="15" customHeight="1" x14ac:dyDescent="0.45">
      <c r="A4" s="1"/>
      <c r="B4" s="95" t="s">
        <v>39</v>
      </c>
      <c r="C4" s="96"/>
      <c r="D4" s="96"/>
      <c r="E4" s="96"/>
      <c r="F4" s="97"/>
      <c r="G4" s="1"/>
    </row>
    <row r="5" spans="1:7" ht="15" customHeight="1" x14ac:dyDescent="0.45">
      <c r="A5" s="1"/>
      <c r="B5" s="98" t="s">
        <v>37</v>
      </c>
      <c r="C5" s="99"/>
      <c r="D5" s="100"/>
      <c r="E5" s="9">
        <v>1627264.7829666666</v>
      </c>
      <c r="F5" s="14" t="s">
        <v>3</v>
      </c>
      <c r="G5" s="1"/>
    </row>
    <row r="6" spans="1:7" ht="15" customHeight="1" x14ac:dyDescent="0.45">
      <c r="A6" s="1"/>
      <c r="B6" s="98" t="s">
        <v>38</v>
      </c>
      <c r="C6" s="99"/>
      <c r="D6" s="100"/>
      <c r="E6" s="9">
        <v>-1924317.52648736</v>
      </c>
      <c r="F6" s="14" t="s">
        <v>3</v>
      </c>
      <c r="G6" s="1"/>
    </row>
    <row r="7" spans="1:7" ht="15" customHeight="1" x14ac:dyDescent="0.45">
      <c r="A7" s="1"/>
      <c r="B7" s="106" t="s">
        <v>131</v>
      </c>
      <c r="C7" s="107"/>
      <c r="D7" s="108"/>
      <c r="E7" s="10">
        <f>SUM(E5:E6)</f>
        <v>-297052.74352069339</v>
      </c>
      <c r="F7" s="17" t="s">
        <v>3</v>
      </c>
      <c r="G7" s="1"/>
    </row>
    <row r="8" spans="1:7" ht="15" customHeight="1" x14ac:dyDescent="0.45">
      <c r="A8" s="1"/>
      <c r="B8" s="45"/>
      <c r="C8" s="46"/>
      <c r="D8" s="46"/>
      <c r="E8" s="46"/>
      <c r="F8" s="20"/>
      <c r="G8" s="1"/>
    </row>
    <row r="9" spans="1:7" ht="28.5" customHeight="1" x14ac:dyDescent="0.45">
      <c r="A9" s="1"/>
      <c r="B9" s="86" t="s">
        <v>132</v>
      </c>
      <c r="C9" s="87"/>
      <c r="D9" s="87"/>
      <c r="E9" s="87"/>
      <c r="F9" s="88"/>
      <c r="G9" s="1"/>
    </row>
    <row r="10" spans="1:7" ht="28.5" customHeight="1" x14ac:dyDescent="0.45">
      <c r="A10" s="1"/>
      <c r="B10" s="1"/>
      <c r="C10" s="1"/>
      <c r="D10" s="1"/>
      <c r="E10" s="1"/>
      <c r="F10" s="1"/>
      <c r="G10" s="1"/>
    </row>
    <row r="11" spans="1:7" x14ac:dyDescent="0.45">
      <c r="A11" s="1"/>
      <c r="B11" s="95" t="s">
        <v>116</v>
      </c>
      <c r="C11" s="96"/>
      <c r="D11" s="96"/>
      <c r="E11" s="96"/>
      <c r="F11" s="97"/>
      <c r="G11" s="1"/>
    </row>
    <row r="12" spans="1:7" x14ac:dyDescent="0.45">
      <c r="A12" s="1"/>
      <c r="B12" s="98" t="s">
        <v>117</v>
      </c>
      <c r="C12" s="99"/>
      <c r="D12" s="100"/>
      <c r="E12" s="9">
        <v>38411139.919992752</v>
      </c>
      <c r="F12" s="14" t="s">
        <v>3</v>
      </c>
      <c r="G12" s="1"/>
    </row>
    <row r="13" spans="1:7" x14ac:dyDescent="0.45">
      <c r="A13" s="1"/>
      <c r="B13" s="98" t="s">
        <v>118</v>
      </c>
      <c r="C13" s="99"/>
      <c r="D13" s="100"/>
      <c r="E13" s="9">
        <v>39642920</v>
      </c>
      <c r="F13" s="14" t="s">
        <v>3</v>
      </c>
      <c r="G13" s="1"/>
    </row>
    <row r="14" spans="1:7" x14ac:dyDescent="0.45">
      <c r="A14" s="1"/>
      <c r="B14" s="98" t="s">
        <v>36</v>
      </c>
      <c r="C14" s="99"/>
      <c r="D14" s="100"/>
      <c r="E14" s="9">
        <v>211211</v>
      </c>
      <c r="F14" s="14" t="s">
        <v>3</v>
      </c>
      <c r="G14" s="1"/>
    </row>
    <row r="15" spans="1:7" x14ac:dyDescent="0.45">
      <c r="A15" s="1"/>
      <c r="B15" s="106" t="s">
        <v>208</v>
      </c>
      <c r="C15" s="107"/>
      <c r="D15" s="108"/>
      <c r="E15" s="10">
        <f>E12-(E13-E14)</f>
        <v>-1020569.0800072476</v>
      </c>
      <c r="F15" s="17" t="s">
        <v>3</v>
      </c>
      <c r="G15" s="1"/>
    </row>
    <row r="16" spans="1:7" x14ac:dyDescent="0.45">
      <c r="A16" s="1"/>
      <c r="B16" s="45"/>
      <c r="C16" s="46"/>
      <c r="D16" s="46"/>
      <c r="E16" s="46"/>
      <c r="F16" s="20"/>
      <c r="G16" s="1"/>
    </row>
    <row r="17" spans="1:7" ht="30" customHeight="1" x14ac:dyDescent="0.45">
      <c r="A17" s="1"/>
      <c r="B17" s="86" t="s">
        <v>133</v>
      </c>
      <c r="C17" s="87"/>
      <c r="D17" s="87"/>
      <c r="E17" s="87"/>
      <c r="F17" s="88"/>
      <c r="G17" s="1"/>
    </row>
    <row r="18" spans="1:7" ht="28.5" customHeight="1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95" t="s">
        <v>50</v>
      </c>
      <c r="C19" s="96"/>
      <c r="D19" s="96"/>
      <c r="E19" s="96"/>
      <c r="F19" s="97"/>
      <c r="G19" s="1"/>
    </row>
    <row r="20" spans="1:7" x14ac:dyDescent="0.45">
      <c r="A20" s="1"/>
      <c r="B20" s="98" t="s">
        <v>51</v>
      </c>
      <c r="C20" s="99"/>
      <c r="D20" s="100"/>
      <c r="E20" s="9">
        <v>36424929.039763592</v>
      </c>
      <c r="F20" s="14" t="s">
        <v>3</v>
      </c>
      <c r="G20" s="1"/>
    </row>
    <row r="21" spans="1:7" x14ac:dyDescent="0.45">
      <c r="A21" s="1"/>
      <c r="B21" s="98" t="s">
        <v>52</v>
      </c>
      <c r="C21" s="99"/>
      <c r="D21" s="100"/>
      <c r="E21" s="9">
        <v>37739498</v>
      </c>
      <c r="F21" s="14" t="s">
        <v>3</v>
      </c>
      <c r="G21" s="1"/>
    </row>
    <row r="22" spans="1:7" x14ac:dyDescent="0.45">
      <c r="A22" s="1"/>
      <c r="B22" s="98" t="s">
        <v>36</v>
      </c>
      <c r="C22" s="99"/>
      <c r="D22" s="100"/>
      <c r="E22" s="9">
        <v>0</v>
      </c>
      <c r="F22" s="14" t="s">
        <v>3</v>
      </c>
      <c r="G22" s="1"/>
    </row>
    <row r="23" spans="1:7" x14ac:dyDescent="0.45">
      <c r="A23" s="1"/>
      <c r="B23" s="106" t="s">
        <v>209</v>
      </c>
      <c r="C23" s="107"/>
      <c r="D23" s="108"/>
      <c r="E23" s="10">
        <f>E20-(E21-E22)</f>
        <v>-1314568.9602364078</v>
      </c>
      <c r="F23" s="17" t="s">
        <v>3</v>
      </c>
      <c r="G23" s="1"/>
    </row>
    <row r="24" spans="1:7" x14ac:dyDescent="0.45">
      <c r="A24" s="1"/>
      <c r="B24" s="45"/>
      <c r="C24" s="46"/>
      <c r="D24" s="46"/>
      <c r="E24" s="46"/>
      <c r="F24" s="20"/>
      <c r="G24" s="1"/>
    </row>
    <row r="25" spans="1:7" ht="28.5" customHeight="1" x14ac:dyDescent="0.45">
      <c r="A25" s="1"/>
      <c r="B25" s="86" t="s">
        <v>179</v>
      </c>
      <c r="C25" s="87"/>
      <c r="D25" s="87"/>
      <c r="E25" s="87"/>
      <c r="F25" s="88"/>
      <c r="G25" s="1"/>
    </row>
    <row r="26" spans="1:7" ht="28.5" customHeight="1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95" t="s">
        <v>200</v>
      </c>
      <c r="C27" s="96"/>
      <c r="D27" s="96"/>
      <c r="E27" s="96"/>
      <c r="F27" s="97"/>
      <c r="G27" s="1"/>
    </row>
    <row r="28" spans="1:7" x14ac:dyDescent="0.45">
      <c r="A28" s="1"/>
      <c r="B28" s="98" t="s">
        <v>201</v>
      </c>
      <c r="C28" s="99"/>
      <c r="D28" s="100"/>
      <c r="E28" s="9">
        <v>35129700.524963021</v>
      </c>
      <c r="F28" s="14" t="s">
        <v>3</v>
      </c>
      <c r="G28" s="1"/>
    </row>
    <row r="29" spans="1:7" x14ac:dyDescent="0.45">
      <c r="A29" s="1"/>
      <c r="B29" s="98" t="s">
        <v>202</v>
      </c>
      <c r="C29" s="99"/>
      <c r="D29" s="100"/>
      <c r="E29" s="9">
        <v>34775792</v>
      </c>
      <c r="F29" s="14" t="s">
        <v>3</v>
      </c>
      <c r="G29" s="1"/>
    </row>
    <row r="30" spans="1:7" x14ac:dyDescent="0.45">
      <c r="A30" s="1"/>
      <c r="B30" s="98" t="s">
        <v>36</v>
      </c>
      <c r="C30" s="99"/>
      <c r="D30" s="100"/>
      <c r="E30" s="9">
        <v>0</v>
      </c>
      <c r="F30" s="14" t="s">
        <v>3</v>
      </c>
      <c r="G30" s="1"/>
    </row>
    <row r="31" spans="1:7" x14ac:dyDescent="0.45">
      <c r="A31" s="1"/>
      <c r="B31" s="106" t="s">
        <v>210</v>
      </c>
      <c r="C31" s="107"/>
      <c r="D31" s="108"/>
      <c r="E31" s="10">
        <f>E28-(E29-E30)</f>
        <v>353908.52496302128</v>
      </c>
      <c r="F31" s="17" t="s">
        <v>3</v>
      </c>
      <c r="G31" s="1"/>
    </row>
    <row r="32" spans="1:7" x14ac:dyDescent="0.45">
      <c r="A32" s="1"/>
      <c r="B32" s="45"/>
      <c r="C32" s="46"/>
      <c r="D32" s="46"/>
      <c r="E32" s="46"/>
      <c r="F32" s="20"/>
      <c r="G32" s="1"/>
    </row>
    <row r="33" spans="1:7" ht="28.5" customHeight="1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95" t="s">
        <v>125</v>
      </c>
      <c r="C34" s="96"/>
      <c r="D34" s="96"/>
      <c r="E34" s="96"/>
      <c r="F34" s="97"/>
      <c r="G34" s="1"/>
    </row>
    <row r="35" spans="1:7" x14ac:dyDescent="0.45">
      <c r="A35" s="1"/>
      <c r="B35" s="109" t="s">
        <v>300</v>
      </c>
      <c r="C35" s="110"/>
      <c r="D35" s="111"/>
      <c r="E35" s="9">
        <v>0</v>
      </c>
      <c r="F35" s="14"/>
      <c r="G35" s="1"/>
    </row>
    <row r="36" spans="1:7" x14ac:dyDescent="0.45">
      <c r="A36" s="1"/>
      <c r="B36" s="109" t="s">
        <v>301</v>
      </c>
      <c r="C36" s="110"/>
      <c r="D36" s="111"/>
      <c r="E36" s="9">
        <v>0</v>
      </c>
      <c r="F36" s="14"/>
      <c r="G36" s="1"/>
    </row>
    <row r="37" spans="1:7" x14ac:dyDescent="0.45">
      <c r="A37" s="1"/>
      <c r="B37" s="109" t="s">
        <v>113</v>
      </c>
      <c r="C37" s="110"/>
      <c r="D37" s="111"/>
      <c r="E37" s="9">
        <f>IF(AND(E7&lt;0,E15&gt;0,ABS(E15)&gt;ABS(E7),E23&gt;0,E31&gt;0),0,IF(AND(E7&lt;0,E15&gt;0,ABS(E15)&gt;ABS(E7),E23&lt;0,E31&gt;0,ABS(E7+E15)&gt;ABS(E23)),0,IF(AND(E7&lt;0,E15&gt;0,ABS(E15)&gt;ABS(E7),E23&lt;0,E31&gt;0,ABS(E7+E15)&lt;ABS(E23),ABS(E31)&gt;ABS(E15+E23)),0,IF(AND(E7&lt;0,E15&gt;0,ABS(E15)&gt;ABS(E7),E23&lt;0,E31&gt;0,ABS(E7+E15)&lt;ABS(E23),ABS(E31)&lt;ABS(E7+E15+E23)),(E7+E15+E23),IF(AND(E7&lt;0,E15&gt;0,ABS(E15)&gt;ABS(E7),E23&gt;0,E31&lt;0,ABS(E23)&gt;ABS(E31)),0,IF(AND(E35=0,E36=0,E7&lt;0,E15&gt;0,ABS(E15)&gt;ABS(E7),E23&gt;0,E31&lt;0,ABS(E31)&gt;ABS(E23)),(E23+E31),IF(AND(E35=1,E36=1,E7&lt;0,E15&gt;0,ABS(E15)&gt;ABS(E7),E23&gt;0,E31&lt;0,ABS(E31)&gt;ABS(E7+E15+E23)),(E7+E15+E23+E31),IF(AND(E35=1,E36=1,E7&lt;0,E15&gt;0,ABS(E15)&gt;ABS(E7),E23&gt;0,E31&lt;0,ABS(E31)&lt;ABS(E7+E15+E23)),0,IF(AND(E35=0,E36=0,E7&lt;0,E15&gt;0,ABS(E15)&gt;ABS(E7),E23&lt;0,E31&lt;0,ABS(E7+E15)&gt;ABS(E23)),E31,IF(AND(E35=1,E36=0,E7&lt;0,E15&gt;0,ABS(E15)&gt;ABS(E7),E23&lt;0,E31&lt;0,ABS(E7+E15)&gt;ABS(E23),ABS(E7+E15+E23)&gt;ABS(E31)),0,IF(AND(E35=1,E36=0,E7&lt;0,E15&gt;0,ABS(E15)&gt;ABS(E7),E23&lt;0,E31&lt;0,ABS(E7+E15)&gt;ABS(E23),ABS(E7+E15+E23)&lt;ABS(E31)),(E7+E15+E23+E31),IF(AND(E7&lt;0,E15&gt;0,ABS(E15)&gt;ABS(E7),E23&lt;0,E31&lt;0,ABS(E23)&gt;ABS(E7+E15)),(E7+E15+E23+E31),IF(AND(E7&lt;0,E15&lt;0,E23&lt;0,E31&lt;0),(E23+E31),IF(AND(E7&lt;0,E15&lt;0,E23&lt;0,E31&gt;0),E23,IF(AND(E7&lt;0,E15&lt;0,E23&gt;0,E31&lt;0,ABS(E31)&lt;ABS(E15+E23),ABS(E23)&gt;ABS(E15)),0,IF(AND(E7&lt;0,E15&lt;0,E23&gt;0,E31&lt;0,ABS(E31)&gt;ABS(E15+E23),ABS(E23)&gt;ABS(E15)),(E31+(E15+E23)),IF(AND(E7&lt;0,E15&lt;0,E23&gt;0,E31&lt;0,ABS(E15)&gt;ABS(E23)),E31,IF(AND(E7&lt;0,E15&lt;0,E23&gt;0,E31&gt;0),0,IF(AND(E7&gt;0,E15&gt;0,E23&gt;0,E31&gt;0),0,IF(AND(E7&gt;0,E15&gt;0,E23&lt;0,E31&gt;0,ABS(E15)&gt;ABS(E23)),0,IF(AND(E7&gt;0,E15&gt;0,E23&lt;0,E31&gt;0,ABS(E15)&lt;ABS(E23)),(E15+E23),IF(AND(E7&gt;0,E15&gt;0,E23&gt;0,E31&lt;0,ABS(E23)&gt;ABS(E31)),0,IF(AND(E35=0,E36=0,E7&gt;0,E15&gt;0,E23&gt;0,E31&lt;0,ABS(E31)&gt;ABS(E23)),(E23+E31),IF(AND(E35=1,E36=1,E7&gt;0,E15&gt;0,E23&gt;0,E31&lt;0,ABS(E31)&gt;ABS(E15+E23)),(E15+E23+E31),IF(AND(E35=1,E36=1,E7&gt;0,E15&gt;0,E23&gt;0,E31&lt;0,ABS(E31)&lt;ABS(E15+E23)),0,IF(AND(E35=0,E36=0,E7&gt;0,E15&gt;0,E23&lt;0,E31&lt;0,ABS(E15)&gt;ABS(E23)),E31,IF(AND(E35=1,E36=0,E7&gt;0,E15&gt;0,E23&lt;0,E31&lt;0,ABS(E15)&gt;ABS(E23),ABS(E15+E23)&gt;ABS(E31)),0,IF(AND(E35=1,E36=0,E7&gt;0,E15&gt;0,E23&lt;0,E31&lt;0,ABS(E15)&gt;ABS(E23),ABS(E15+E23)&lt;ABS(E31)),(E15+E23+E31),IF(AND(E7&gt;0,E15&gt;0,E23&lt;0,E31&lt;0,ABS(E23)&gt;ABS(E15)),(E15+E23+E31),IF(AND(E7&gt;0,E15&lt;0,ABS(E15)&gt;ABS(E7),E23&lt;0,E31&lt;0),(E23+E31),IF(AND(E7&gt;0,E15&lt;0,ABS(E15)&gt;ABS(E7),E23&lt;0,E31&gt;0),E23,IF(AND(E7&gt;0,E15&lt;0,ABS(E15)&gt;ABS(E7),E23&gt;0,E31&lt;0,ABS(E23)&gt;ABS(E7+E15),ABS(E31)&lt;ABS(E7+E15+E23)),0,IF(AND(E7&gt;0,E15&lt;0,ABS(E15)&gt;ABS(E7),E23&gt;0,E31&lt;0,ABS(E23)&gt;ABS(E7+E15),ABS(E31)&gt;ABS(E7+E15+E23)),(E31+(E7+E15+E23)),IF(AND(E7&gt;0,E15&lt;0,ABS(E15)&gt;ABS(E7),E23&gt;0,E31&lt;0,ABS(E7+E15)&gt;ABS(E23)),E31,IF(AND(E7&gt;0,E15&lt;0,ABS(E15)&gt;ABS(E7),E23&gt;0,E31&gt;0),0,IF(AND(E7&gt;0,E15&lt;0,ABS(E7)&gt;ABS(E15),E23&lt;0,E31&gt;0),E23,IF(AND(E7&gt;0,E15&lt;0,ABS(E7)&gt;ABS(E15),E23&gt;0,E31&gt;0),0,IF(AND(E7&gt;0,E15&lt;0,ABS(E7)&gt;ABS(E15),E23&lt;0,E31&lt;0),(E23+E31),IF(AND(E7&gt;0,E15&lt;0,ABS(E7)&gt;ABS(E15),E23&gt;0,E31&lt;0,ABS(E23)&gt;ABS(E31)),0,IF(AND(E7&gt;0,E15&lt;0,ABS(E7)&gt;ABS(E15),E23&gt;0,E31&lt;0,ABS(E23)&lt;ABS(E31)),(E23+E31),IF(AND(E7&lt;0,E15&gt;0,ABS(E7)&gt;ABS(E15),E23&lt;0,E31&gt;0),E23,IF(AND(E7&lt;0,E15&gt;0,ABS(E7)&gt;ABS(E15),E23&gt;0,E31&gt;0),0,IF(AND(E7&lt;0,E15&gt;0,ABS(E7)&gt;ABS(E15),E23&lt;0,E31&lt;0),(E23+E31),IF(AND(E7&lt;0,E15&gt;0,ABS(E7)&gt;ABS(E15),E23&gt;0,E31&lt;0,ABS(E23)&gt;ABS(E31)),0,IF(AND(E7&lt;0,E15&gt;0,ABS(E7)&gt;ABS(E15),E23&gt;0,E31&lt;0,ABS(E23)&lt;ABS(E31)),(E23+E31),FALSE)))))))))))))))))))))))))))))))))))))))))))))</f>
        <v>-1314568.9602364078</v>
      </c>
      <c r="F37" s="14" t="s">
        <v>3</v>
      </c>
      <c r="G37" s="1"/>
    </row>
    <row r="38" spans="1:7" x14ac:dyDescent="0.45">
      <c r="A38" s="1"/>
      <c r="B38" s="109" t="s">
        <v>130</v>
      </c>
      <c r="C38" s="110"/>
      <c r="D38" s="111"/>
      <c r="E38" s="9">
        <v>2</v>
      </c>
      <c r="F38" s="14" t="s">
        <v>19</v>
      </c>
      <c r="G38" s="1"/>
    </row>
    <row r="39" spans="1:7" ht="15" customHeight="1" x14ac:dyDescent="0.45">
      <c r="A39" s="1"/>
      <c r="B39" s="112" t="s">
        <v>203</v>
      </c>
      <c r="C39" s="112"/>
      <c r="D39" s="112"/>
      <c r="E39" s="10">
        <f>E37/E38</f>
        <v>-657284.48011820391</v>
      </c>
      <c r="F39" s="17" t="s">
        <v>3</v>
      </c>
      <c r="G39" s="1"/>
    </row>
    <row r="40" spans="1:7" x14ac:dyDescent="0.45">
      <c r="A40" s="1"/>
      <c r="B40" s="95"/>
      <c r="C40" s="96"/>
      <c r="D40" s="96"/>
      <c r="E40" s="96"/>
      <c r="F40" s="97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4" spans="1:7" x14ac:dyDescent="0.45">
      <c r="A44" s="37"/>
      <c r="B44" s="37"/>
      <c r="C44" s="37"/>
      <c r="D44" s="37"/>
      <c r="E44" s="37"/>
      <c r="F44" s="37"/>
      <c r="G44" s="37"/>
    </row>
    <row r="45" spans="1:7" x14ac:dyDescent="0.45">
      <c r="A45" s="37"/>
      <c r="B45" s="37"/>
      <c r="C45" s="37"/>
      <c r="D45" s="37"/>
      <c r="E45" s="37"/>
      <c r="F45" s="37"/>
      <c r="G45" s="37"/>
    </row>
    <row r="46" spans="1:7" x14ac:dyDescent="0.45">
      <c r="A46" s="37"/>
      <c r="B46" s="37"/>
      <c r="C46" s="37"/>
      <c r="D46" s="37"/>
      <c r="E46" s="37"/>
      <c r="F46" s="37"/>
      <c r="G46" s="37"/>
    </row>
    <row r="47" spans="1:7" x14ac:dyDescent="0.45">
      <c r="A47" s="37"/>
      <c r="B47" s="37"/>
      <c r="C47" s="37"/>
      <c r="D47" s="37"/>
      <c r="E47" s="37"/>
      <c r="F47" s="37"/>
      <c r="G47" s="37"/>
    </row>
  </sheetData>
  <sheetProtection algorithmName="SHA-512" hashValue="98vydM+rz6GgnQmJV9DFd+T7q/hf/J0h1gi+z57zTC+P+NsIf0LkXYlZsqsw6mYw7vqpXnOxfFxcbvRGl7jBOQ==" saltValue="qOypWXLticeyrmkPzTK8yA==" spinCount="100000" sheet="1" objects="1" scenarios="1"/>
  <mergeCells count="30">
    <mergeCell ref="B2:F3"/>
    <mergeCell ref="B19:F19"/>
    <mergeCell ref="B20:D20"/>
    <mergeCell ref="B21:D21"/>
    <mergeCell ref="B22:D22"/>
    <mergeCell ref="B14:D14"/>
    <mergeCell ref="B15:D15"/>
    <mergeCell ref="B4:F4"/>
    <mergeCell ref="B5:D5"/>
    <mergeCell ref="B6:D6"/>
    <mergeCell ref="B7:D7"/>
    <mergeCell ref="B11:F11"/>
    <mergeCell ref="B12:D12"/>
    <mergeCell ref="B13:D13"/>
    <mergeCell ref="B9:F9"/>
    <mergeCell ref="B17:F17"/>
    <mergeCell ref="B40:F40"/>
    <mergeCell ref="B23:D23"/>
    <mergeCell ref="B34:F34"/>
    <mergeCell ref="B37:D37"/>
    <mergeCell ref="B38:D38"/>
    <mergeCell ref="B39:D39"/>
    <mergeCell ref="B27:F27"/>
    <mergeCell ref="B28:D28"/>
    <mergeCell ref="B29:D29"/>
    <mergeCell ref="B30:D30"/>
    <mergeCell ref="B31:D31"/>
    <mergeCell ref="B25:F25"/>
    <mergeCell ref="B35:D35"/>
    <mergeCell ref="B36:D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93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216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197</v>
      </c>
      <c r="C8" s="96"/>
      <c r="D8" s="96"/>
      <c r="E8" s="96"/>
      <c r="F8" s="96"/>
      <c r="G8" s="96"/>
      <c r="H8" s="97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2"/>
      <c r="I9" s="1"/>
    </row>
    <row r="10" spans="1:9" x14ac:dyDescent="0.45">
      <c r="A10" s="1"/>
      <c r="B10" s="51" t="s">
        <v>249</v>
      </c>
      <c r="C10" s="52" t="s">
        <v>250</v>
      </c>
      <c r="D10" s="9">
        <v>2745.09</v>
      </c>
      <c r="E10" s="9">
        <f>IFERROR(D10/C10,0)</f>
        <v>36.601199999999999</v>
      </c>
      <c r="F10" s="9">
        <v>0</v>
      </c>
      <c r="G10" s="9">
        <v>54.63</v>
      </c>
      <c r="H10" s="14" t="s">
        <v>3</v>
      </c>
      <c r="I10" s="1"/>
    </row>
    <row r="11" spans="1:9" x14ac:dyDescent="0.45">
      <c r="A11" s="1"/>
      <c r="B11" s="51" t="s">
        <v>249</v>
      </c>
      <c r="C11" s="52" t="s">
        <v>250</v>
      </c>
      <c r="D11" s="9">
        <v>10045.719999999999</v>
      </c>
      <c r="E11" s="9">
        <f t="shared" ref="E11:E55" si="0">IFERROR(D11/C11,0)</f>
        <v>133.94293333333331</v>
      </c>
      <c r="F11" s="9">
        <v>0</v>
      </c>
      <c r="G11" s="9">
        <v>199.91</v>
      </c>
      <c r="H11" s="14" t="s">
        <v>3</v>
      </c>
      <c r="I11" s="1"/>
    </row>
    <row r="12" spans="1:9" x14ac:dyDescent="0.45">
      <c r="A12" s="1"/>
      <c r="B12" s="51" t="s">
        <v>249</v>
      </c>
      <c r="C12" s="52" t="s">
        <v>250</v>
      </c>
      <c r="D12" s="9">
        <v>259242.86</v>
      </c>
      <c r="E12" s="9">
        <f t="shared" si="0"/>
        <v>3456.5714666666663</v>
      </c>
      <c r="F12" s="9">
        <v>0</v>
      </c>
      <c r="G12" s="9">
        <v>5158.93</v>
      </c>
      <c r="H12" s="14" t="s">
        <v>3</v>
      </c>
      <c r="I12" s="1"/>
    </row>
    <row r="13" spans="1:9" x14ac:dyDescent="0.45">
      <c r="A13" s="1"/>
      <c r="B13" s="51" t="s">
        <v>249</v>
      </c>
      <c r="C13" s="52" t="s">
        <v>250</v>
      </c>
      <c r="D13" s="9">
        <v>33518.89</v>
      </c>
      <c r="E13" s="9">
        <f t="shared" si="0"/>
        <v>446.9185333333333</v>
      </c>
      <c r="F13" s="9">
        <v>0</v>
      </c>
      <c r="G13" s="9">
        <v>667.03</v>
      </c>
      <c r="H13" s="14" t="s">
        <v>3</v>
      </c>
      <c r="I13" s="1"/>
    </row>
    <row r="14" spans="1:9" x14ac:dyDescent="0.45">
      <c r="A14" s="1"/>
      <c r="B14" s="51" t="s">
        <v>249</v>
      </c>
      <c r="C14" s="52" t="s">
        <v>250</v>
      </c>
      <c r="D14" s="9">
        <v>16633.39</v>
      </c>
      <c r="E14" s="9">
        <f t="shared" si="0"/>
        <v>221.77853333333331</v>
      </c>
      <c r="F14" s="9">
        <v>0</v>
      </c>
      <c r="G14" s="9">
        <v>331</v>
      </c>
      <c r="H14" s="14" t="s">
        <v>3</v>
      </c>
      <c r="I14" s="1"/>
    </row>
    <row r="15" spans="1:9" x14ac:dyDescent="0.45">
      <c r="A15" s="1"/>
      <c r="B15" s="51" t="s">
        <v>251</v>
      </c>
      <c r="C15" s="52" t="s">
        <v>252</v>
      </c>
      <c r="D15" s="9">
        <v>29586</v>
      </c>
      <c r="E15" s="9">
        <f t="shared" si="0"/>
        <v>5917.2</v>
      </c>
      <c r="F15" s="9">
        <v>0</v>
      </c>
      <c r="G15" s="9">
        <v>588.76</v>
      </c>
      <c r="H15" s="14" t="s">
        <v>3</v>
      </c>
      <c r="I15" s="1"/>
    </row>
    <row r="16" spans="1:9" x14ac:dyDescent="0.45">
      <c r="A16" s="1"/>
      <c r="B16" s="51" t="s">
        <v>251</v>
      </c>
      <c r="C16" s="52" t="s">
        <v>252</v>
      </c>
      <c r="D16" s="9">
        <v>30757</v>
      </c>
      <c r="E16" s="9">
        <f t="shared" si="0"/>
        <v>6151.4</v>
      </c>
      <c r="F16" s="9">
        <v>0</v>
      </c>
      <c r="G16" s="9">
        <v>612.05999999999995</v>
      </c>
      <c r="H16" s="14" t="s">
        <v>3</v>
      </c>
      <c r="I16" s="1"/>
    </row>
    <row r="17" spans="1:9" ht="26.65" x14ac:dyDescent="0.45">
      <c r="A17" s="1"/>
      <c r="B17" s="51" t="s">
        <v>253</v>
      </c>
      <c r="C17" s="52" t="s">
        <v>254</v>
      </c>
      <c r="D17" s="9">
        <v>673.12</v>
      </c>
      <c r="E17" s="9">
        <f t="shared" si="0"/>
        <v>22.437333333333335</v>
      </c>
      <c r="F17" s="9">
        <v>0</v>
      </c>
      <c r="G17" s="9">
        <v>13.4</v>
      </c>
      <c r="H17" s="14" t="s">
        <v>3</v>
      </c>
      <c r="I17" s="1"/>
    </row>
    <row r="18" spans="1:9" ht="26.65" x14ac:dyDescent="0.45">
      <c r="A18" s="1"/>
      <c r="B18" s="51" t="s">
        <v>255</v>
      </c>
      <c r="C18" s="52" t="s">
        <v>256</v>
      </c>
      <c r="D18" s="9">
        <v>8132.5</v>
      </c>
      <c r="E18" s="9">
        <f t="shared" si="0"/>
        <v>203.3125</v>
      </c>
      <c r="F18" s="9">
        <v>0</v>
      </c>
      <c r="G18" s="9">
        <v>161.84</v>
      </c>
      <c r="H18" s="14" t="s">
        <v>3</v>
      </c>
      <c r="I18" s="1"/>
    </row>
    <row r="19" spans="1:9" ht="26.65" x14ac:dyDescent="0.45">
      <c r="A19" s="1"/>
      <c r="B19" s="51" t="s">
        <v>257</v>
      </c>
      <c r="C19" s="52" t="s">
        <v>254</v>
      </c>
      <c r="D19" s="9">
        <v>3471.26</v>
      </c>
      <c r="E19" s="9">
        <f t="shared" si="0"/>
        <v>115.70866666666667</v>
      </c>
      <c r="F19" s="9">
        <v>0</v>
      </c>
      <c r="G19" s="9">
        <v>69.08</v>
      </c>
      <c r="H19" s="14" t="s">
        <v>3</v>
      </c>
      <c r="I19" s="1"/>
    </row>
    <row r="20" spans="1:9" ht="26.65" x14ac:dyDescent="0.45">
      <c r="A20" s="1"/>
      <c r="B20" s="51" t="s">
        <v>258</v>
      </c>
      <c r="C20" s="52" t="s">
        <v>250</v>
      </c>
      <c r="D20" s="9">
        <v>4234.88</v>
      </c>
      <c r="E20" s="9">
        <f t="shared" si="0"/>
        <v>56.465066666666665</v>
      </c>
      <c r="F20" s="9">
        <v>0</v>
      </c>
      <c r="G20" s="9">
        <v>84.27</v>
      </c>
      <c r="H20" s="14" t="s">
        <v>3</v>
      </c>
      <c r="I20" s="1"/>
    </row>
    <row r="21" spans="1:9" ht="26.65" x14ac:dyDescent="0.45">
      <c r="A21" s="1"/>
      <c r="B21" s="51" t="s">
        <v>259</v>
      </c>
      <c r="C21" s="52" t="s">
        <v>256</v>
      </c>
      <c r="D21" s="9">
        <v>2750.58</v>
      </c>
      <c r="E21" s="9">
        <f t="shared" si="0"/>
        <v>68.764499999999998</v>
      </c>
      <c r="F21" s="9">
        <v>0</v>
      </c>
      <c r="G21" s="9">
        <v>54.74</v>
      </c>
      <c r="H21" s="14" t="s">
        <v>3</v>
      </c>
      <c r="I21" s="1"/>
    </row>
    <row r="22" spans="1:9" ht="26.65" x14ac:dyDescent="0.45">
      <c r="A22" s="1"/>
      <c r="B22" s="51" t="s">
        <v>260</v>
      </c>
      <c r="C22" s="52" t="s">
        <v>254</v>
      </c>
      <c r="D22" s="9">
        <v>3829.59</v>
      </c>
      <c r="E22" s="9">
        <f t="shared" si="0"/>
        <v>127.65300000000001</v>
      </c>
      <c r="F22" s="9">
        <v>0</v>
      </c>
      <c r="G22" s="9">
        <v>76.209999999999994</v>
      </c>
      <c r="H22" s="14" t="s">
        <v>3</v>
      </c>
      <c r="I22" s="1"/>
    </row>
    <row r="23" spans="1:9" ht="26.65" x14ac:dyDescent="0.45">
      <c r="A23" s="1"/>
      <c r="B23" s="51" t="s">
        <v>261</v>
      </c>
      <c r="C23" s="52" t="s">
        <v>262</v>
      </c>
      <c r="D23" s="9">
        <v>1670.73</v>
      </c>
      <c r="E23" s="9">
        <f t="shared" si="0"/>
        <v>33.4146</v>
      </c>
      <c r="F23" s="9">
        <v>0</v>
      </c>
      <c r="G23" s="9">
        <v>33.25</v>
      </c>
      <c r="H23" s="14" t="s">
        <v>3</v>
      </c>
      <c r="I23" s="1"/>
    </row>
    <row r="24" spans="1:9" ht="26.65" x14ac:dyDescent="0.45">
      <c r="A24" s="1"/>
      <c r="B24" s="51" t="s">
        <v>263</v>
      </c>
      <c r="C24" s="52" t="s">
        <v>262</v>
      </c>
      <c r="D24" s="9">
        <v>1324.95</v>
      </c>
      <c r="E24" s="9">
        <f t="shared" si="0"/>
        <v>26.499000000000002</v>
      </c>
      <c r="F24" s="9">
        <v>0</v>
      </c>
      <c r="G24" s="9">
        <v>26.37</v>
      </c>
      <c r="H24" s="14" t="s">
        <v>3</v>
      </c>
      <c r="I24" s="1"/>
    </row>
    <row r="25" spans="1:9" ht="26.65" x14ac:dyDescent="0.45">
      <c r="A25" s="1"/>
      <c r="B25" s="51" t="s">
        <v>264</v>
      </c>
      <c r="C25" s="52" t="s">
        <v>262</v>
      </c>
      <c r="D25" s="9">
        <v>963.49</v>
      </c>
      <c r="E25" s="9">
        <f t="shared" si="0"/>
        <v>19.2698</v>
      </c>
      <c r="F25" s="9">
        <v>0</v>
      </c>
      <c r="G25" s="9">
        <v>19.170000000000002</v>
      </c>
      <c r="H25" s="14" t="s">
        <v>3</v>
      </c>
      <c r="I25" s="1"/>
    </row>
    <row r="26" spans="1:9" ht="26.65" x14ac:dyDescent="0.45">
      <c r="A26" s="1"/>
      <c r="B26" s="51" t="s">
        <v>265</v>
      </c>
      <c r="C26" s="52" t="s">
        <v>262</v>
      </c>
      <c r="D26" s="9">
        <v>183.01</v>
      </c>
      <c r="E26" s="9">
        <f t="shared" si="0"/>
        <v>3.6601999999999997</v>
      </c>
      <c r="F26" s="9">
        <v>0</v>
      </c>
      <c r="G26" s="9">
        <v>3.64</v>
      </c>
      <c r="H26" s="14" t="s">
        <v>3</v>
      </c>
      <c r="I26" s="1"/>
    </row>
    <row r="27" spans="1:9" ht="26.65" x14ac:dyDescent="0.45">
      <c r="A27" s="1"/>
      <c r="B27" s="51" t="s">
        <v>266</v>
      </c>
      <c r="C27" s="52" t="s">
        <v>262</v>
      </c>
      <c r="D27" s="9">
        <v>168.35</v>
      </c>
      <c r="E27" s="9">
        <f t="shared" si="0"/>
        <v>3.367</v>
      </c>
      <c r="F27" s="9">
        <v>0</v>
      </c>
      <c r="G27" s="9">
        <v>3.35</v>
      </c>
      <c r="H27" s="14" t="s">
        <v>3</v>
      </c>
      <c r="I27" s="1"/>
    </row>
    <row r="28" spans="1:9" ht="26.65" x14ac:dyDescent="0.45">
      <c r="A28" s="1"/>
      <c r="B28" s="51" t="s">
        <v>267</v>
      </c>
      <c r="C28" s="52" t="s">
        <v>262</v>
      </c>
      <c r="D28" s="9">
        <v>168.35</v>
      </c>
      <c r="E28" s="9">
        <f t="shared" si="0"/>
        <v>3.367</v>
      </c>
      <c r="F28" s="9">
        <v>0</v>
      </c>
      <c r="G28" s="9">
        <v>3.35</v>
      </c>
      <c r="H28" s="14" t="s">
        <v>3</v>
      </c>
      <c r="I28" s="1"/>
    </row>
    <row r="29" spans="1:9" ht="26.65" x14ac:dyDescent="0.45">
      <c r="A29" s="1"/>
      <c r="B29" s="51" t="s">
        <v>268</v>
      </c>
      <c r="C29" s="52" t="s">
        <v>262</v>
      </c>
      <c r="D29" s="9">
        <v>231.99</v>
      </c>
      <c r="E29" s="9">
        <f t="shared" si="0"/>
        <v>4.6398000000000001</v>
      </c>
      <c r="F29" s="9">
        <v>0</v>
      </c>
      <c r="G29" s="9">
        <v>4.62</v>
      </c>
      <c r="H29" s="14" t="s">
        <v>3</v>
      </c>
      <c r="I29" s="1"/>
    </row>
    <row r="30" spans="1:9" ht="26.65" x14ac:dyDescent="0.45">
      <c r="A30" s="1"/>
      <c r="B30" s="51" t="s">
        <v>269</v>
      </c>
      <c r="C30" s="52" t="s">
        <v>270</v>
      </c>
      <c r="D30" s="9">
        <v>5718.36</v>
      </c>
      <c r="E30" s="9">
        <f t="shared" si="0"/>
        <v>285.91800000000001</v>
      </c>
      <c r="F30" s="9">
        <v>0</v>
      </c>
      <c r="G30" s="9">
        <v>113.8</v>
      </c>
      <c r="H30" s="14" t="s">
        <v>3</v>
      </c>
      <c r="I30" s="1"/>
    </row>
    <row r="31" spans="1:9" ht="26.65" x14ac:dyDescent="0.45">
      <c r="A31" s="1"/>
      <c r="B31" s="51" t="s">
        <v>271</v>
      </c>
      <c r="C31" s="52" t="s">
        <v>270</v>
      </c>
      <c r="D31" s="9">
        <v>562.47</v>
      </c>
      <c r="E31" s="9">
        <f t="shared" si="0"/>
        <v>28.1235</v>
      </c>
      <c r="F31" s="9">
        <v>0</v>
      </c>
      <c r="G31" s="9">
        <v>11.19</v>
      </c>
      <c r="H31" s="14" t="s">
        <v>3</v>
      </c>
      <c r="I31" s="1"/>
    </row>
    <row r="32" spans="1:9" ht="26.65" x14ac:dyDescent="0.45">
      <c r="A32" s="1"/>
      <c r="B32" s="51" t="s">
        <v>272</v>
      </c>
      <c r="C32" s="52" t="s">
        <v>270</v>
      </c>
      <c r="D32" s="9">
        <v>5096.62</v>
      </c>
      <c r="E32" s="9">
        <f t="shared" si="0"/>
        <v>254.83099999999999</v>
      </c>
      <c r="F32" s="9">
        <v>0</v>
      </c>
      <c r="G32" s="9">
        <v>101.42</v>
      </c>
      <c r="H32" s="14" t="s">
        <v>3</v>
      </c>
      <c r="I32" s="1"/>
    </row>
    <row r="33" spans="1:9" ht="26.65" x14ac:dyDescent="0.45">
      <c r="A33" s="1"/>
      <c r="B33" s="51" t="s">
        <v>273</v>
      </c>
      <c r="C33" s="52" t="s">
        <v>270</v>
      </c>
      <c r="D33" s="9">
        <v>953.19</v>
      </c>
      <c r="E33" s="9">
        <f t="shared" si="0"/>
        <v>47.659500000000001</v>
      </c>
      <c r="F33" s="9">
        <v>0</v>
      </c>
      <c r="G33" s="9">
        <v>18.97</v>
      </c>
      <c r="H33" s="14" t="s">
        <v>3</v>
      </c>
      <c r="I33" s="1"/>
    </row>
    <row r="34" spans="1:9" ht="26.65" x14ac:dyDescent="0.45">
      <c r="A34" s="1"/>
      <c r="B34" s="51" t="s">
        <v>274</v>
      </c>
      <c r="C34" s="52" t="s">
        <v>270</v>
      </c>
      <c r="D34" s="9">
        <v>2952.01</v>
      </c>
      <c r="E34" s="9">
        <f t="shared" si="0"/>
        <v>147.60050000000001</v>
      </c>
      <c r="F34" s="9">
        <v>0</v>
      </c>
      <c r="G34" s="9">
        <v>58.74</v>
      </c>
      <c r="H34" s="14" t="s">
        <v>3</v>
      </c>
      <c r="I34" s="1"/>
    </row>
    <row r="35" spans="1:9" ht="26.65" x14ac:dyDescent="0.45">
      <c r="A35" s="1"/>
      <c r="B35" s="51" t="s">
        <v>275</v>
      </c>
      <c r="C35" s="52" t="s">
        <v>270</v>
      </c>
      <c r="D35" s="9">
        <v>1026.96</v>
      </c>
      <c r="E35" s="9">
        <f t="shared" si="0"/>
        <v>51.347999999999999</v>
      </c>
      <c r="F35" s="9">
        <v>0</v>
      </c>
      <c r="G35" s="9">
        <v>20.440000000000001</v>
      </c>
      <c r="H35" s="14" t="s">
        <v>3</v>
      </c>
      <c r="I35" s="1"/>
    </row>
    <row r="36" spans="1:9" ht="26.65" x14ac:dyDescent="0.45">
      <c r="A36" s="1"/>
      <c r="B36" s="51" t="s">
        <v>276</v>
      </c>
      <c r="C36" s="52" t="s">
        <v>256</v>
      </c>
      <c r="D36" s="9">
        <v>553.29</v>
      </c>
      <c r="E36" s="9">
        <f t="shared" si="0"/>
        <v>13.832249999999998</v>
      </c>
      <c r="F36" s="9">
        <v>0</v>
      </c>
      <c r="G36" s="9">
        <v>11.01</v>
      </c>
      <c r="H36" s="14" t="s">
        <v>3</v>
      </c>
      <c r="I36" s="1"/>
    </row>
    <row r="37" spans="1:9" ht="26.65" x14ac:dyDescent="0.45">
      <c r="A37" s="1"/>
      <c r="B37" s="51" t="s">
        <v>277</v>
      </c>
      <c r="C37" s="52" t="s">
        <v>270</v>
      </c>
      <c r="D37" s="9">
        <v>23473.32</v>
      </c>
      <c r="E37" s="9">
        <f t="shared" si="0"/>
        <v>1173.6659999999999</v>
      </c>
      <c r="F37" s="9">
        <v>0</v>
      </c>
      <c r="G37" s="9">
        <v>467.12</v>
      </c>
      <c r="H37" s="14" t="s">
        <v>3</v>
      </c>
      <c r="I37" s="1"/>
    </row>
    <row r="38" spans="1:9" ht="26.65" x14ac:dyDescent="0.45">
      <c r="A38" s="1"/>
      <c r="B38" s="51" t="s">
        <v>278</v>
      </c>
      <c r="C38" s="52" t="s">
        <v>254</v>
      </c>
      <c r="D38" s="9">
        <v>655.8</v>
      </c>
      <c r="E38" s="9">
        <f t="shared" si="0"/>
        <v>21.86</v>
      </c>
      <c r="F38" s="9">
        <v>0</v>
      </c>
      <c r="G38" s="9">
        <v>13.05</v>
      </c>
      <c r="H38" s="14" t="s">
        <v>3</v>
      </c>
      <c r="I38" s="1"/>
    </row>
    <row r="39" spans="1:9" ht="26.65" x14ac:dyDescent="0.45">
      <c r="A39" s="1"/>
      <c r="B39" s="51" t="s">
        <v>279</v>
      </c>
      <c r="C39" s="52" t="s">
        <v>256</v>
      </c>
      <c r="D39" s="9">
        <v>1256.31</v>
      </c>
      <c r="E39" s="9">
        <f t="shared" si="0"/>
        <v>31.40775</v>
      </c>
      <c r="F39" s="9">
        <v>0</v>
      </c>
      <c r="G39" s="9">
        <v>25</v>
      </c>
      <c r="H39" s="14" t="s">
        <v>3</v>
      </c>
      <c r="I39" s="1"/>
    </row>
    <row r="40" spans="1:9" ht="26.65" x14ac:dyDescent="0.45">
      <c r="A40" s="1"/>
      <c r="B40" s="51" t="s">
        <v>280</v>
      </c>
      <c r="C40" s="52" t="s">
        <v>281</v>
      </c>
      <c r="D40" s="9">
        <v>825.81</v>
      </c>
      <c r="E40" s="9">
        <f t="shared" si="0"/>
        <v>82.580999999999989</v>
      </c>
      <c r="F40" s="9">
        <v>0</v>
      </c>
      <c r="G40" s="9">
        <v>16.43</v>
      </c>
      <c r="H40" s="14" t="s">
        <v>3</v>
      </c>
      <c r="I40" s="1"/>
    </row>
    <row r="41" spans="1:9" x14ac:dyDescent="0.45">
      <c r="A41" s="1"/>
      <c r="B41" s="51" t="s">
        <v>282</v>
      </c>
      <c r="C41" s="52" t="s">
        <v>254</v>
      </c>
      <c r="D41" s="9">
        <v>115135.71</v>
      </c>
      <c r="E41" s="9">
        <f t="shared" si="0"/>
        <v>3837.8570000000004</v>
      </c>
      <c r="F41" s="9">
        <v>0</v>
      </c>
      <c r="G41" s="9">
        <v>2291.1999999999998</v>
      </c>
      <c r="H41" s="14" t="s">
        <v>3</v>
      </c>
      <c r="I41" s="1"/>
    </row>
    <row r="42" spans="1:9" x14ac:dyDescent="0.45">
      <c r="A42" s="1"/>
      <c r="B42" s="51" t="s">
        <v>283</v>
      </c>
      <c r="C42" s="52" t="s">
        <v>254</v>
      </c>
      <c r="D42" s="9">
        <v>42358.33</v>
      </c>
      <c r="E42" s="9">
        <f t="shared" si="0"/>
        <v>1411.9443333333334</v>
      </c>
      <c r="F42" s="9">
        <v>0</v>
      </c>
      <c r="G42" s="9">
        <v>842.93</v>
      </c>
      <c r="H42" s="14" t="s">
        <v>3</v>
      </c>
      <c r="I42" s="1"/>
    </row>
    <row r="43" spans="1:9" x14ac:dyDescent="0.45">
      <c r="A43" s="1"/>
      <c r="B43" s="51" t="s">
        <v>284</v>
      </c>
      <c r="C43" s="52" t="s">
        <v>285</v>
      </c>
      <c r="D43" s="9">
        <v>7381.2</v>
      </c>
      <c r="E43" s="9">
        <f t="shared" si="0"/>
        <v>492.08</v>
      </c>
      <c r="F43" s="9">
        <v>0</v>
      </c>
      <c r="G43" s="9">
        <v>146.88999999999999</v>
      </c>
      <c r="H43" s="14" t="s">
        <v>3</v>
      </c>
      <c r="I43" s="1"/>
    </row>
    <row r="44" spans="1:9" x14ac:dyDescent="0.45">
      <c r="A44" s="1"/>
      <c r="B44" s="51" t="s">
        <v>286</v>
      </c>
      <c r="C44" s="52" t="s">
        <v>254</v>
      </c>
      <c r="D44" s="9">
        <v>19482.18</v>
      </c>
      <c r="E44" s="9">
        <f t="shared" si="0"/>
        <v>649.40600000000006</v>
      </c>
      <c r="F44" s="9">
        <v>0</v>
      </c>
      <c r="G44" s="9">
        <v>387.7</v>
      </c>
      <c r="H44" s="14" t="s">
        <v>3</v>
      </c>
      <c r="I44" s="1"/>
    </row>
    <row r="45" spans="1:9" ht="26.65" x14ac:dyDescent="0.45">
      <c r="A45" s="1"/>
      <c r="B45" s="51" t="s">
        <v>287</v>
      </c>
      <c r="C45" s="52" t="s">
        <v>254</v>
      </c>
      <c r="D45" s="9">
        <v>40142.35</v>
      </c>
      <c r="E45" s="9">
        <f t="shared" si="0"/>
        <v>1338.0783333333334</v>
      </c>
      <c r="F45" s="9">
        <v>0</v>
      </c>
      <c r="G45" s="9">
        <v>798.83</v>
      </c>
      <c r="H45" s="14" t="s">
        <v>3</v>
      </c>
      <c r="I45" s="1"/>
    </row>
    <row r="46" spans="1:9" x14ac:dyDescent="0.45">
      <c r="A46" s="1"/>
      <c r="B46" s="51" t="s">
        <v>288</v>
      </c>
      <c r="C46" s="52" t="s">
        <v>270</v>
      </c>
      <c r="D46" s="9">
        <v>21464.6</v>
      </c>
      <c r="E46" s="9">
        <f t="shared" si="0"/>
        <v>1073.23</v>
      </c>
      <c r="F46" s="9">
        <v>0</v>
      </c>
      <c r="G46" s="9">
        <v>427.15</v>
      </c>
      <c r="H46" s="14" t="s">
        <v>3</v>
      </c>
      <c r="I46" s="1"/>
    </row>
    <row r="47" spans="1:9" x14ac:dyDescent="0.45">
      <c r="A47" s="1"/>
      <c r="B47" s="51" t="s">
        <v>289</v>
      </c>
      <c r="C47" s="52" t="s">
        <v>254</v>
      </c>
      <c r="D47" s="9">
        <v>15712.78</v>
      </c>
      <c r="E47" s="9">
        <f t="shared" si="0"/>
        <v>523.7593333333333</v>
      </c>
      <c r="F47" s="9">
        <v>0</v>
      </c>
      <c r="G47" s="9">
        <v>312.68</v>
      </c>
      <c r="H47" s="14" t="s">
        <v>3</v>
      </c>
      <c r="I47" s="1"/>
    </row>
    <row r="48" spans="1:9" x14ac:dyDescent="0.45">
      <c r="A48" s="1"/>
      <c r="B48" s="51" t="s">
        <v>290</v>
      </c>
      <c r="C48" s="52" t="s">
        <v>254</v>
      </c>
      <c r="D48" s="9">
        <v>60036.160000000003</v>
      </c>
      <c r="E48" s="9">
        <f t="shared" si="0"/>
        <v>2001.2053333333336</v>
      </c>
      <c r="F48" s="9">
        <v>0</v>
      </c>
      <c r="G48" s="9">
        <v>1194.72</v>
      </c>
      <c r="H48" s="14" t="s">
        <v>3</v>
      </c>
      <c r="I48" s="1"/>
    </row>
    <row r="49" spans="1:9" x14ac:dyDescent="0.45">
      <c r="A49" s="1"/>
      <c r="B49" s="51" t="s">
        <v>291</v>
      </c>
      <c r="C49" s="52" t="s">
        <v>254</v>
      </c>
      <c r="D49" s="9">
        <v>89509.29</v>
      </c>
      <c r="E49" s="9">
        <f t="shared" si="0"/>
        <v>2983.6429999999996</v>
      </c>
      <c r="F49" s="9">
        <v>0</v>
      </c>
      <c r="G49" s="9">
        <v>1781.23</v>
      </c>
      <c r="H49" s="14" t="s">
        <v>3</v>
      </c>
      <c r="I49" s="1"/>
    </row>
    <row r="50" spans="1:9" x14ac:dyDescent="0.45">
      <c r="A50" s="1"/>
      <c r="B50" s="51" t="s">
        <v>292</v>
      </c>
      <c r="C50" s="52" t="s">
        <v>254</v>
      </c>
      <c r="D50" s="9">
        <v>52583.71</v>
      </c>
      <c r="E50" s="9">
        <f t="shared" si="0"/>
        <v>1752.7903333333334</v>
      </c>
      <c r="F50" s="9">
        <v>0</v>
      </c>
      <c r="G50" s="9">
        <v>1046.42</v>
      </c>
      <c r="H50" s="14" t="s">
        <v>3</v>
      </c>
      <c r="I50" s="1"/>
    </row>
    <row r="51" spans="1:9" x14ac:dyDescent="0.45">
      <c r="A51" s="1"/>
      <c r="B51" s="51" t="s">
        <v>293</v>
      </c>
      <c r="C51" s="52" t="s">
        <v>281</v>
      </c>
      <c r="D51" s="9">
        <v>9202.82</v>
      </c>
      <c r="E51" s="9">
        <f t="shared" si="0"/>
        <v>920.28199999999993</v>
      </c>
      <c r="F51" s="9">
        <v>0</v>
      </c>
      <c r="G51" s="9">
        <v>183.14</v>
      </c>
      <c r="H51" s="14" t="s">
        <v>3</v>
      </c>
      <c r="I51" s="1"/>
    </row>
    <row r="52" spans="1:9" x14ac:dyDescent="0.45">
      <c r="A52" s="1"/>
      <c r="B52" s="51" t="s">
        <v>294</v>
      </c>
      <c r="C52" s="52" t="s">
        <v>256</v>
      </c>
      <c r="D52" s="9">
        <v>71746.789999999994</v>
      </c>
      <c r="E52" s="9">
        <f t="shared" si="0"/>
        <v>1793.6697499999998</v>
      </c>
      <c r="F52" s="9">
        <v>0</v>
      </c>
      <c r="G52" s="9">
        <v>1427.76</v>
      </c>
      <c r="H52" s="14" t="s">
        <v>3</v>
      </c>
      <c r="I52" s="1"/>
    </row>
    <row r="53" spans="1:9" x14ac:dyDescent="0.45">
      <c r="A53" s="1"/>
      <c r="B53" s="51" t="s">
        <v>295</v>
      </c>
      <c r="C53" s="52" t="s">
        <v>281</v>
      </c>
      <c r="D53" s="9">
        <v>8563.93</v>
      </c>
      <c r="E53" s="9">
        <f t="shared" si="0"/>
        <v>856.39300000000003</v>
      </c>
      <c r="F53" s="9">
        <v>0</v>
      </c>
      <c r="G53" s="9">
        <v>170.42</v>
      </c>
      <c r="H53" s="14" t="s">
        <v>3</v>
      </c>
      <c r="I53" s="1"/>
    </row>
    <row r="54" spans="1:9" ht="26.65" x14ac:dyDescent="0.45">
      <c r="A54" s="1"/>
      <c r="B54" s="51" t="s">
        <v>296</v>
      </c>
      <c r="C54" s="52" t="s">
        <v>254</v>
      </c>
      <c r="D54" s="9">
        <v>87677.02</v>
      </c>
      <c r="E54" s="9">
        <f t="shared" si="0"/>
        <v>2922.5673333333334</v>
      </c>
      <c r="F54" s="9">
        <v>0</v>
      </c>
      <c r="G54" s="9">
        <v>1744.77</v>
      </c>
      <c r="H54" s="14" t="s">
        <v>3</v>
      </c>
      <c r="I54" s="1"/>
    </row>
    <row r="55" spans="1:9" x14ac:dyDescent="0.45">
      <c r="A55" s="1"/>
      <c r="B55" s="51" t="s">
        <v>297</v>
      </c>
      <c r="C55" s="52">
        <v>10</v>
      </c>
      <c r="D55" s="9">
        <v>17850</v>
      </c>
      <c r="E55" s="9">
        <f t="shared" si="0"/>
        <v>1785</v>
      </c>
      <c r="F55" s="9">
        <v>0</v>
      </c>
      <c r="G55" s="9">
        <v>355.22</v>
      </c>
      <c r="H55" s="14" t="s">
        <v>3</v>
      </c>
      <c r="I55" s="1"/>
    </row>
    <row r="56" spans="1:9" x14ac:dyDescent="0.45">
      <c r="A56" s="1"/>
      <c r="B56" s="51" t="s">
        <v>298</v>
      </c>
      <c r="C56" s="52" t="s">
        <v>281</v>
      </c>
      <c r="D56" s="9">
        <v>15000</v>
      </c>
      <c r="E56" s="9">
        <f t="shared" ref="E56:E57" si="1">IFERROR(D56/C56,0)</f>
        <v>1500</v>
      </c>
      <c r="F56" s="9">
        <v>0</v>
      </c>
      <c r="G56" s="9">
        <v>298.5</v>
      </c>
      <c r="H56" s="14" t="s">
        <v>3</v>
      </c>
      <c r="I56" s="1"/>
    </row>
    <row r="57" spans="1:9" ht="26.65" x14ac:dyDescent="0.45">
      <c r="A57" s="1"/>
      <c r="B57" s="51" t="s">
        <v>299</v>
      </c>
      <c r="C57" s="52" t="s">
        <v>281</v>
      </c>
      <c r="D57" s="9">
        <v>18202</v>
      </c>
      <c r="E57" s="9">
        <f t="shared" si="1"/>
        <v>1820.2</v>
      </c>
      <c r="F57" s="9">
        <v>0</v>
      </c>
      <c r="G57" s="9">
        <v>362.22</v>
      </c>
      <c r="H57" s="14" t="s">
        <v>3</v>
      </c>
      <c r="I57" s="1"/>
    </row>
    <row r="58" spans="1:9" x14ac:dyDescent="0.45">
      <c r="A58" s="1"/>
      <c r="B58" s="95" t="s">
        <v>198</v>
      </c>
      <c r="C58" s="96"/>
      <c r="D58" s="97"/>
      <c r="E58" s="12">
        <f>SUM(E10:E57)</f>
        <v>46853.90438333332</v>
      </c>
      <c r="F58" s="12">
        <f t="shared" ref="F58:G58" si="2">SUM(F10:F57)</f>
        <v>0</v>
      </c>
      <c r="G58" s="12">
        <f t="shared" si="2"/>
        <v>22794.559999999998</v>
      </c>
      <c r="H58" s="13" t="s">
        <v>3</v>
      </c>
      <c r="I58" s="1"/>
    </row>
    <row r="59" spans="1:9" x14ac:dyDescent="0.4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4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4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4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4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4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4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4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4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4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4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4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4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4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4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4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4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4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4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4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4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4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4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4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4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4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4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4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4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4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4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4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4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45">
      <c r="A93" s="1"/>
      <c r="B93" s="1"/>
      <c r="C93" s="1"/>
      <c r="D93" s="1"/>
      <c r="E93" s="1"/>
      <c r="F93" s="1"/>
      <c r="G93" s="1"/>
      <c r="H93" s="1"/>
      <c r="I93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58:D58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215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5" t="s">
        <v>94</v>
      </c>
      <c r="C8" s="46"/>
      <c r="D8" s="46"/>
      <c r="E8" s="46"/>
      <c r="F8" s="20"/>
      <c r="G8" s="1"/>
    </row>
    <row r="9" spans="1:7" ht="17.25" customHeight="1" x14ac:dyDescent="0.45">
      <c r="A9" s="1"/>
      <c r="B9" s="43" t="s">
        <v>16</v>
      </c>
      <c r="C9" s="43" t="s">
        <v>11</v>
      </c>
      <c r="D9" s="44"/>
      <c r="E9" s="43" t="s">
        <v>34</v>
      </c>
      <c r="F9" s="42"/>
      <c r="G9" s="1"/>
    </row>
    <row r="10" spans="1:7" x14ac:dyDescent="0.45">
      <c r="A10" s="1"/>
      <c r="B10" s="25" t="s">
        <v>44</v>
      </c>
      <c r="C10" s="22">
        <f>'Fane 8. Anlægsprojekter'!F58</f>
        <v>0</v>
      </c>
      <c r="D10" s="14" t="s">
        <v>3</v>
      </c>
      <c r="E10" s="9">
        <f>SUM('Fane 8. Anlægsprojekter'!E58,'Fane 8. Anlægsprojekter'!G58)</f>
        <v>69648.46438333331</v>
      </c>
      <c r="F10" s="14" t="s">
        <v>3</v>
      </c>
      <c r="G10" s="1"/>
    </row>
    <row r="11" spans="1:7" x14ac:dyDescent="0.45">
      <c r="A11" s="1"/>
      <c r="B11" s="53" t="s">
        <v>244</v>
      </c>
      <c r="C11" s="22">
        <v>750857</v>
      </c>
      <c r="D11" s="14" t="s">
        <v>3</v>
      </c>
      <c r="E11" s="9">
        <v>4023</v>
      </c>
      <c r="F11" s="14" t="s">
        <v>3</v>
      </c>
      <c r="G11" s="1"/>
    </row>
    <row r="12" spans="1:7" x14ac:dyDescent="0.45">
      <c r="A12" s="1"/>
      <c r="B12" s="25" t="s">
        <v>245</v>
      </c>
      <c r="C12" s="22">
        <v>0</v>
      </c>
      <c r="D12" s="14" t="s">
        <v>3</v>
      </c>
      <c r="E12" s="9">
        <v>17197</v>
      </c>
      <c r="F12" s="14" t="s">
        <v>3</v>
      </c>
      <c r="G12" s="1"/>
    </row>
    <row r="13" spans="1:7" x14ac:dyDescent="0.45">
      <c r="A13" s="1"/>
      <c r="B13" s="45" t="s">
        <v>48</v>
      </c>
      <c r="C13" s="12">
        <f>SUM(C10:C12)</f>
        <v>750857</v>
      </c>
      <c r="D13" s="13" t="s">
        <v>3</v>
      </c>
      <c r="E13" s="12">
        <f>SUM(E10:E12)</f>
        <v>90868.46438333331</v>
      </c>
      <c r="F13" s="13" t="s">
        <v>3</v>
      </c>
      <c r="G13" s="1"/>
    </row>
    <row r="14" spans="1:7" x14ac:dyDescent="0.45">
      <c r="A14" s="1"/>
      <c r="B14" s="45" t="s">
        <v>173</v>
      </c>
      <c r="C14" s="12">
        <f>C13*(1+'Fane 12. Nøgletal'!C13)</f>
        <v>760017.45539999998</v>
      </c>
      <c r="D14" s="13" t="s">
        <v>3</v>
      </c>
      <c r="E14" s="12">
        <f>E13*(1+'Fane 12. Nøgletal'!C13)</f>
        <v>91977.059648809969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V2Se2HBUj1l69azCaIDDLmlYkVMAVv0pZGwaPA8X9/blCTwk460QzydYsB/nPH49O/z0BFGRq7K13tm9RyFmIw==" saltValue="zUbNnZdDQVq/pCKtCPrX8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214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119</v>
      </c>
      <c r="C8" s="96"/>
      <c r="D8" s="96"/>
      <c r="E8" s="96"/>
      <c r="F8" s="97"/>
      <c r="G8" s="1"/>
    </row>
    <row r="9" spans="1:7" x14ac:dyDescent="0.45">
      <c r="A9" s="1"/>
      <c r="B9" s="43" t="s">
        <v>16</v>
      </c>
      <c r="C9" s="43" t="s">
        <v>11</v>
      </c>
      <c r="D9" s="44"/>
      <c r="E9" s="43" t="s">
        <v>34</v>
      </c>
      <c r="F9" s="42"/>
      <c r="G9" s="1"/>
    </row>
    <row r="10" spans="1:7" x14ac:dyDescent="0.45">
      <c r="A10" s="1"/>
      <c r="B10" s="25" t="s">
        <v>246</v>
      </c>
      <c r="C10" s="22">
        <v>285000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5" t="s">
        <v>174</v>
      </c>
      <c r="C11" s="12">
        <f>SUM(C10:C10)</f>
        <v>285000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9</v>
      </c>
      <c r="C12" s="28">
        <f>-C11*'Fane 5. Individuelt eff. krav'!G10</f>
        <v>-5700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123</v>
      </c>
      <c r="C13" s="28">
        <f>-C11*'Fane 12. Nøgletal'!C27</f>
        <v>-5700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45">
      <c r="A14" s="1"/>
      <c r="B14" s="45" t="s">
        <v>122</v>
      </c>
      <c r="C14" s="12">
        <f>SUM(C11:C13)*(1+'Fane 12. Nøgletal'!C13)^2</f>
        <v>280316.56262400001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5" t="s">
        <v>120</v>
      </c>
      <c r="C16" s="96"/>
      <c r="D16" s="96"/>
      <c r="E16" s="96"/>
      <c r="F16" s="97"/>
      <c r="G16" s="1"/>
    </row>
    <row r="17" spans="1:7" x14ac:dyDescent="0.45">
      <c r="A17" s="1"/>
      <c r="B17" s="43" t="s">
        <v>16</v>
      </c>
      <c r="C17" s="43" t="s">
        <v>11</v>
      </c>
      <c r="D17" s="44"/>
      <c r="E17" s="43" t="s">
        <v>34</v>
      </c>
      <c r="F17" s="42"/>
      <c r="G17" s="1"/>
    </row>
    <row r="18" spans="1:7" x14ac:dyDescent="0.45">
      <c r="A18" s="1"/>
      <c r="B18" s="25" t="s">
        <v>247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45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45">
      <c r="A22" s="1"/>
      <c r="B22" s="45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5" t="s">
        <v>121</v>
      </c>
      <c r="C24" s="96"/>
      <c r="D24" s="96"/>
      <c r="E24" s="96"/>
      <c r="F24" s="97"/>
      <c r="G24" s="1"/>
    </row>
    <row r="25" spans="1:7" x14ac:dyDescent="0.45">
      <c r="A25" s="1"/>
      <c r="B25" s="43" t="s">
        <v>16</v>
      </c>
      <c r="C25" s="43" t="s">
        <v>11</v>
      </c>
      <c r="D25" s="44"/>
      <c r="E25" s="43" t="s">
        <v>34</v>
      </c>
      <c r="F25" s="42"/>
      <c r="G25" s="1"/>
    </row>
    <row r="26" spans="1:7" x14ac:dyDescent="0.45">
      <c r="A26" s="1"/>
      <c r="B26" s="25" t="s">
        <v>247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45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45">
      <c r="A30" s="1"/>
      <c r="B30" s="45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5" t="s">
        <v>176</v>
      </c>
      <c r="C32" s="96"/>
      <c r="D32" s="96"/>
      <c r="E32" s="96"/>
      <c r="F32" s="97"/>
      <c r="G32" s="1"/>
    </row>
    <row r="33" spans="1:7" x14ac:dyDescent="0.45">
      <c r="A33" s="1"/>
      <c r="B33" s="43" t="s">
        <v>16</v>
      </c>
      <c r="C33" s="43" t="s">
        <v>11</v>
      </c>
      <c r="D33" s="44"/>
      <c r="E33" s="43" t="s">
        <v>34</v>
      </c>
      <c r="F33" s="42"/>
      <c r="G33" s="1"/>
    </row>
    <row r="34" spans="1:7" x14ac:dyDescent="0.45">
      <c r="A34" s="1"/>
      <c r="B34" s="25" t="s">
        <v>247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45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45">
      <c r="A38" s="1"/>
      <c r="B38" s="45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/5DYx4SyKr8HreP3rF5BUUFkWtb0cVkMT0FNheKy5dp7fhClaUywTQ0EKILSbWG4Ip/XBTlGBPbDBQrRiRLaFg==" saltValue="amsxXILmr57SNH5K1NEFA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2" t="s">
        <v>213</v>
      </c>
      <c r="C3" s="82"/>
      <c r="D3" s="82"/>
      <c r="E3" s="82"/>
      <c r="F3" s="82"/>
      <c r="G3" s="1"/>
    </row>
    <row r="4" spans="1:7" ht="25.5" customHeight="1" x14ac:dyDescent="0.45">
      <c r="A4" s="1"/>
      <c r="B4" s="82"/>
      <c r="C4" s="82"/>
      <c r="D4" s="82"/>
      <c r="E4" s="82"/>
      <c r="F4" s="8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45">
      <c r="A9" s="1"/>
      <c r="B9" s="41" t="s">
        <v>157</v>
      </c>
      <c r="C9" s="92" t="s">
        <v>11</v>
      </c>
      <c r="D9" s="94"/>
      <c r="E9" s="92" t="s">
        <v>34</v>
      </c>
      <c r="F9" s="94"/>
      <c r="G9" s="1"/>
    </row>
    <row r="10" spans="1:7" x14ac:dyDescent="0.45">
      <c r="A10" s="1"/>
      <c r="B10" s="25" t="s">
        <v>242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2" t="s">
        <v>212</v>
      </c>
      <c r="C3" s="82"/>
      <c r="D3" s="82"/>
      <c r="E3" s="82"/>
      <c r="F3" s="82"/>
      <c r="G3" s="1"/>
    </row>
    <row r="4" spans="1:7" ht="25.5" customHeight="1" x14ac:dyDescent="0.45">
      <c r="A4" s="1"/>
      <c r="B4" s="82"/>
      <c r="C4" s="82"/>
      <c r="D4" s="82"/>
      <c r="E4" s="82"/>
      <c r="F4" s="8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111</v>
      </c>
      <c r="C8" s="96"/>
      <c r="D8" s="96"/>
      <c r="E8" s="96"/>
      <c r="F8" s="97"/>
      <c r="G8" s="1"/>
    </row>
    <row r="9" spans="1:7" ht="15" customHeight="1" x14ac:dyDescent="0.45">
      <c r="A9" s="1"/>
      <c r="B9" s="41" t="s">
        <v>17</v>
      </c>
      <c r="C9" s="41" t="s">
        <v>11</v>
      </c>
      <c r="D9" s="42"/>
      <c r="E9" s="41" t="s">
        <v>34</v>
      </c>
      <c r="F9" s="42"/>
      <c r="G9" s="1"/>
    </row>
    <row r="10" spans="1:7" x14ac:dyDescent="0.45">
      <c r="A10" s="1"/>
      <c r="B10" s="25" t="s">
        <v>243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5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5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5" t="s">
        <v>110</v>
      </c>
      <c r="C15" s="96"/>
      <c r="D15" s="96"/>
      <c r="E15" s="96"/>
      <c r="F15" s="97"/>
      <c r="G15" s="1"/>
    </row>
    <row r="16" spans="1:7" x14ac:dyDescent="0.45">
      <c r="A16" s="1"/>
      <c r="B16" s="41" t="s">
        <v>17</v>
      </c>
      <c r="C16" s="41" t="s">
        <v>11</v>
      </c>
      <c r="D16" s="42"/>
      <c r="E16" s="41" t="s">
        <v>34</v>
      </c>
      <c r="F16" s="42"/>
      <c r="G16" s="1"/>
    </row>
    <row r="17" spans="1:7" x14ac:dyDescent="0.45">
      <c r="A17" s="1"/>
      <c r="B17" s="25" t="s">
        <v>243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45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45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5" t="s">
        <v>112</v>
      </c>
      <c r="C22" s="96"/>
      <c r="D22" s="96"/>
      <c r="E22" s="96"/>
      <c r="F22" s="97"/>
      <c r="G22" s="1"/>
    </row>
    <row r="23" spans="1:7" x14ac:dyDescent="0.45">
      <c r="A23" s="1"/>
      <c r="B23" s="41" t="s">
        <v>17</v>
      </c>
      <c r="C23" s="41" t="s">
        <v>11</v>
      </c>
      <c r="D23" s="42"/>
      <c r="E23" s="41" t="s">
        <v>34</v>
      </c>
      <c r="F23" s="42"/>
      <c r="G23" s="1"/>
    </row>
    <row r="24" spans="1:7" x14ac:dyDescent="0.45">
      <c r="A24" s="1"/>
      <c r="B24" s="25" t="s">
        <v>243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45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45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5" t="s">
        <v>182</v>
      </c>
      <c r="C29" s="96"/>
      <c r="D29" s="96"/>
      <c r="E29" s="96"/>
      <c r="F29" s="97"/>
      <c r="G29" s="1"/>
    </row>
    <row r="30" spans="1:7" x14ac:dyDescent="0.45">
      <c r="A30" s="1"/>
      <c r="B30" s="41" t="s">
        <v>17</v>
      </c>
      <c r="C30" s="41" t="s">
        <v>11</v>
      </c>
      <c r="D30" s="42"/>
      <c r="E30" s="41" t="s">
        <v>34</v>
      </c>
      <c r="F30" s="42"/>
      <c r="G30" s="1"/>
    </row>
    <row r="31" spans="1:7" x14ac:dyDescent="0.45">
      <c r="A31" s="1"/>
      <c r="B31" s="25" t="s">
        <v>243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45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45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2" t="s">
        <v>211</v>
      </c>
      <c r="C3" s="82"/>
      <c r="D3" s="1"/>
    </row>
    <row r="4" spans="1:4" ht="25.5" customHeight="1" x14ac:dyDescent="0.45">
      <c r="A4" s="1"/>
      <c r="B4" s="82"/>
      <c r="C4" s="82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5" t="s">
        <v>14</v>
      </c>
      <c r="C8" s="20"/>
      <c r="D8" s="1"/>
    </row>
    <row r="9" spans="1:4" x14ac:dyDescent="0.45">
      <c r="A9" s="1"/>
      <c r="B9" s="48" t="s">
        <v>141</v>
      </c>
      <c r="C9" s="26">
        <v>1.2699999999999999E-2</v>
      </c>
      <c r="D9" s="1"/>
    </row>
    <row r="10" spans="1:4" x14ac:dyDescent="0.45">
      <c r="A10" s="1"/>
      <c r="B10" s="48" t="s">
        <v>22</v>
      </c>
      <c r="C10" s="26">
        <v>1.7500000000000002E-2</v>
      </c>
      <c r="D10" s="1"/>
    </row>
    <row r="11" spans="1:4" x14ac:dyDescent="0.45">
      <c r="A11" s="1"/>
      <c r="B11" s="48" t="s">
        <v>142</v>
      </c>
      <c r="C11" s="26">
        <v>1.6899999999999998E-2</v>
      </c>
      <c r="D11" s="1"/>
    </row>
    <row r="12" spans="1:4" x14ac:dyDescent="0.45">
      <c r="A12" s="1"/>
      <c r="B12" s="34" t="s">
        <v>47</v>
      </c>
      <c r="C12" s="35">
        <v>1.9699999999999999E-2</v>
      </c>
      <c r="D12" s="1"/>
    </row>
    <row r="13" spans="1:4" x14ac:dyDescent="0.45">
      <c r="A13" s="1"/>
      <c r="B13" s="34" t="s">
        <v>178</v>
      </c>
      <c r="C13" s="35">
        <v>1.2200000000000001E-2</v>
      </c>
      <c r="D13" s="1"/>
    </row>
    <row r="14" spans="1:4" x14ac:dyDescent="0.45">
      <c r="A14" s="1"/>
      <c r="B14" s="95"/>
      <c r="C14" s="97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5" t="s">
        <v>126</v>
      </c>
      <c r="C17" s="20"/>
      <c r="D17" s="1"/>
    </row>
    <row r="18" spans="1:4" x14ac:dyDescent="0.45">
      <c r="A18" s="1"/>
      <c r="B18" s="48" t="s">
        <v>143</v>
      </c>
      <c r="C18" s="23">
        <v>9.1000000000000004E-3</v>
      </c>
      <c r="D18" s="1"/>
    </row>
    <row r="19" spans="1:4" x14ac:dyDescent="0.45">
      <c r="A19" s="1"/>
      <c r="B19" s="48" t="s">
        <v>144</v>
      </c>
      <c r="C19" s="23">
        <v>1.77E-2</v>
      </c>
      <c r="D19" s="1"/>
    </row>
    <row r="20" spans="1:4" x14ac:dyDescent="0.45">
      <c r="A20" s="1"/>
      <c r="B20" s="48" t="s">
        <v>145</v>
      </c>
      <c r="C20" s="23">
        <v>8.6999999999999994E-3</v>
      </c>
      <c r="D20" s="1"/>
    </row>
    <row r="21" spans="1:4" x14ac:dyDescent="0.45">
      <c r="A21" s="1"/>
      <c r="B21" s="48" t="s">
        <v>146</v>
      </c>
      <c r="C21" s="36">
        <v>2.8400000000000002E-2</v>
      </c>
      <c r="D21" s="1"/>
    </row>
    <row r="22" spans="1:4" x14ac:dyDescent="0.45">
      <c r="A22" s="1"/>
      <c r="B22" s="48" t="s">
        <v>186</v>
      </c>
      <c r="C22" s="36">
        <v>2.75E-2</v>
      </c>
      <c r="D22" s="1"/>
    </row>
    <row r="23" spans="1:4" x14ac:dyDescent="0.45">
      <c r="A23" s="1"/>
      <c r="B23" s="45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45" t="s">
        <v>127</v>
      </c>
      <c r="C26" s="20"/>
      <c r="D26" s="1"/>
    </row>
    <row r="27" spans="1:4" x14ac:dyDescent="0.45">
      <c r="A27" s="1"/>
      <c r="B27" s="48" t="s">
        <v>147</v>
      </c>
      <c r="C27" s="26">
        <v>0.02</v>
      </c>
      <c r="D27" s="1"/>
    </row>
    <row r="28" spans="1:4" x14ac:dyDescent="0.45">
      <c r="A28" s="1"/>
      <c r="B28" s="45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161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5" t="s">
        <v>13</v>
      </c>
      <c r="C8" s="46"/>
      <c r="D8" s="20"/>
      <c r="E8" s="1"/>
    </row>
    <row r="9" spans="1:5" x14ac:dyDescent="0.45">
      <c r="A9" s="1"/>
      <c r="B9" s="47" t="s">
        <v>25</v>
      </c>
      <c r="C9" s="7">
        <f>'Fane 3. Omkostninger i ØR2020'!E20</f>
        <v>22313335.315296695</v>
      </c>
      <c r="D9" s="8" t="s">
        <v>3</v>
      </c>
      <c r="E9" s="1"/>
    </row>
    <row r="10" spans="1:5" ht="17.100000000000001" customHeight="1" x14ac:dyDescent="0.45">
      <c r="A10" s="1"/>
      <c r="B10" s="31" t="s">
        <v>45</v>
      </c>
      <c r="C10" s="7">
        <f>'Fane 9.1. Varige tillæg'!C14</f>
        <v>760017.45539999998</v>
      </c>
      <c r="D10" s="8" t="s">
        <v>3</v>
      </c>
      <c r="E10" s="1"/>
    </row>
    <row r="11" spans="1:5" ht="17.100000000000001" customHeight="1" x14ac:dyDescent="0.45">
      <c r="A11" s="1"/>
      <c r="B11" s="31" t="s">
        <v>46</v>
      </c>
      <c r="C11" s="9">
        <f>'Fane 9.1. Varige tillæg'!E14</f>
        <v>91977.059648809969</v>
      </c>
      <c r="D11" s="8" t="s">
        <v>3</v>
      </c>
      <c r="E11" s="1"/>
    </row>
    <row r="12" spans="1:5" ht="17.100000000000001" customHeight="1" x14ac:dyDescent="0.45">
      <c r="A12" s="1"/>
      <c r="B12" s="31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31" t="s">
        <v>18</v>
      </c>
      <c r="C16" s="9">
        <f>SUM(C9:C15)*'Fane 12. Nøgletal'!C13</f>
        <v>282617.02393021522</v>
      </c>
      <c r="D16" s="8" t="s">
        <v>3</v>
      </c>
      <c r="E16" s="1"/>
    </row>
    <row r="17" spans="1:5" ht="17.100000000000001" customHeight="1" x14ac:dyDescent="0.45">
      <c r="A17" s="1"/>
      <c r="B17" s="31" t="s">
        <v>9</v>
      </c>
      <c r="C17" s="9">
        <f>-SUM(C9:C16)*'Fane 5. Individuelt eff. krav'!G10</f>
        <v>-468958.93708551442</v>
      </c>
      <c r="D17" s="8" t="s">
        <v>3</v>
      </c>
      <c r="E17" s="1"/>
    </row>
    <row r="18" spans="1:5" ht="17.100000000000001" customHeight="1" x14ac:dyDescent="0.45">
      <c r="A18" s="1"/>
      <c r="B18" s="31" t="s">
        <v>27</v>
      </c>
      <c r="C18" s="9">
        <f>-'Fane 4.1. Gen. krav - drift'!G31</f>
        <v>-197005.64488548849</v>
      </c>
      <c r="D18" s="8" t="s">
        <v>3</v>
      </c>
      <c r="E18" s="1"/>
    </row>
    <row r="19" spans="1:5" ht="17.100000000000001" customHeight="1" x14ac:dyDescent="0.45">
      <c r="A19" s="1"/>
      <c r="B19" s="31" t="s">
        <v>28</v>
      </c>
      <c r="C19" s="9">
        <f>-'Fane 4.2. Gen. krav - anlæg'!G31</f>
        <v>-396126.02842798515</v>
      </c>
      <c r="D19" s="8" t="s">
        <v>3</v>
      </c>
      <c r="E19" s="1"/>
    </row>
    <row r="20" spans="1:5" ht="17.100000000000001" customHeight="1" x14ac:dyDescent="0.45">
      <c r="A20" s="1"/>
      <c r="B20" s="49" t="s">
        <v>20</v>
      </c>
      <c r="C20" s="10">
        <f>SUM(C9:C19)</f>
        <v>22385856.243876737</v>
      </c>
      <c r="D20" s="11" t="s">
        <v>3</v>
      </c>
      <c r="E20" s="1"/>
    </row>
    <row r="21" spans="1:5" ht="15" customHeight="1" x14ac:dyDescent="0.45">
      <c r="A21" s="1"/>
      <c r="B21" s="45" t="s">
        <v>12</v>
      </c>
      <c r="C21" s="46"/>
      <c r="D21" s="20"/>
      <c r="E21" s="1"/>
    </row>
    <row r="22" spans="1:5" ht="15" customHeight="1" x14ac:dyDescent="0.45">
      <c r="A22" s="1"/>
      <c r="B22" s="41" t="s">
        <v>12</v>
      </c>
      <c r="C22" s="10">
        <f>'Fane 6. Ikke-påvirkelige omk.'!C19</f>
        <v>14260541.621634001</v>
      </c>
      <c r="D22" s="11" t="s">
        <v>3</v>
      </c>
      <c r="E22" s="1"/>
    </row>
    <row r="23" spans="1:5" ht="15" customHeight="1" x14ac:dyDescent="0.45">
      <c r="A23" s="1"/>
      <c r="B23" s="45" t="s">
        <v>99</v>
      </c>
      <c r="C23" s="46"/>
      <c r="D23" s="20"/>
      <c r="E23" s="1"/>
    </row>
    <row r="24" spans="1:5" ht="15" customHeight="1" x14ac:dyDescent="0.45">
      <c r="A24" s="1"/>
      <c r="B24" s="31" t="s">
        <v>95</v>
      </c>
      <c r="C24" s="9">
        <f>'Fane 9.2. Engangstillæg'!C14</f>
        <v>280316.56262400001</v>
      </c>
      <c r="D24" s="8" t="s">
        <v>3</v>
      </c>
      <c r="E24" s="1"/>
    </row>
    <row r="25" spans="1:5" ht="15" customHeight="1" x14ac:dyDescent="0.45">
      <c r="A25" s="1"/>
      <c r="B25" s="31" t="s">
        <v>96</v>
      </c>
      <c r="C25" s="9">
        <f>'Fane 9.2. Engangstillæg'!E14</f>
        <v>0</v>
      </c>
      <c r="D25" s="8" t="s">
        <v>3</v>
      </c>
      <c r="E25" s="1"/>
    </row>
    <row r="26" spans="1:5" x14ac:dyDescent="0.45">
      <c r="A26" s="1"/>
      <c r="B26" s="49" t="s">
        <v>100</v>
      </c>
      <c r="C26" s="10">
        <f>SUM(C24:C25)</f>
        <v>280316.56262400001</v>
      </c>
      <c r="D26" s="11" t="s">
        <v>3</v>
      </c>
      <c r="E26" s="1"/>
    </row>
    <row r="27" spans="1:5" ht="15" customHeight="1" x14ac:dyDescent="0.45">
      <c r="A27" s="1"/>
      <c r="B27" s="38" t="s">
        <v>204</v>
      </c>
      <c r="C27" s="46"/>
      <c r="D27" s="20"/>
      <c r="E27" s="1"/>
    </row>
    <row r="28" spans="1:5" x14ac:dyDescent="0.45">
      <c r="A28" s="1"/>
      <c r="B28" s="50" t="s">
        <v>205</v>
      </c>
      <c r="C28" s="10">
        <f>'Fane 7. Kontrol af ØR2019'!E39</f>
        <v>-657284.48011820391</v>
      </c>
      <c r="D28" s="11" t="s">
        <v>3</v>
      </c>
      <c r="E28" s="1"/>
    </row>
    <row r="29" spans="1:5" x14ac:dyDescent="0.45">
      <c r="A29" s="1"/>
      <c r="B29" s="45" t="s">
        <v>31</v>
      </c>
      <c r="C29" s="32">
        <f>SUM(C20,C22,C26,C28)</f>
        <v>36269429.948016539</v>
      </c>
      <c r="D29" s="20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162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/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5" t="s">
        <v>13</v>
      </c>
      <c r="C8" s="46"/>
      <c r="D8" s="20"/>
      <c r="E8" s="1"/>
    </row>
    <row r="9" spans="1:5" ht="15" customHeight="1" x14ac:dyDescent="0.45">
      <c r="A9" s="1"/>
      <c r="B9" s="47" t="s">
        <v>26</v>
      </c>
      <c r="C9" s="7">
        <f>'Fane 2.1. Økonomisk ramme 2021'!C20</f>
        <v>22385856.243876737</v>
      </c>
      <c r="D9" s="8" t="s">
        <v>3</v>
      </c>
      <c r="E9" s="1"/>
    </row>
    <row r="10" spans="1:5" ht="15" customHeight="1" x14ac:dyDescent="0.4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4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45">
      <c r="A12" s="1"/>
      <c r="B12" s="39" t="s">
        <v>18</v>
      </c>
      <c r="C12" s="9">
        <f>SUM(C9:C11)*'Fane 12. Nøgletal'!C13</f>
        <v>273107.44617529621</v>
      </c>
      <c r="D12" s="8" t="s">
        <v>3</v>
      </c>
      <c r="E12" s="1"/>
    </row>
    <row r="13" spans="1:5" ht="15" customHeight="1" x14ac:dyDescent="0.45">
      <c r="A13" s="1"/>
      <c r="B13" s="39" t="s">
        <v>9</v>
      </c>
      <c r="C13" s="9">
        <f>-SUM(C9:C12)*'Fane 5. Individuelt eff. krav'!G10</f>
        <v>-453179.27380104066</v>
      </c>
      <c r="D13" s="8" t="s">
        <v>3</v>
      </c>
      <c r="E13" s="1"/>
    </row>
    <row r="14" spans="1:5" ht="15" customHeight="1" x14ac:dyDescent="0.45">
      <c r="A14" s="1"/>
      <c r="B14" s="39" t="s">
        <v>27</v>
      </c>
      <c r="C14" s="9">
        <f>-'Fane 4.1. Gen. krav - drift'!G37</f>
        <v>-195420.93147802964</v>
      </c>
      <c r="D14" s="8" t="s">
        <v>3</v>
      </c>
      <c r="E14" s="1"/>
    </row>
    <row r="15" spans="1:5" ht="15" customHeight="1" x14ac:dyDescent="0.45">
      <c r="A15" s="1"/>
      <c r="B15" s="39" t="s">
        <v>28</v>
      </c>
      <c r="C15" s="9">
        <f>-'Fane 4.2. Gen. krav - anlæg'!G37</f>
        <v>-389932.3999104994</v>
      </c>
      <c r="D15" s="8" t="s">
        <v>3</v>
      </c>
      <c r="E15" s="1"/>
    </row>
    <row r="16" spans="1:5" ht="15" customHeight="1" x14ac:dyDescent="0.45">
      <c r="A16" s="1"/>
      <c r="B16" s="40" t="s">
        <v>20</v>
      </c>
      <c r="C16" s="10">
        <f>SUM(C9:C15)</f>
        <v>21620431.084862463</v>
      </c>
      <c r="D16" s="11" t="s">
        <v>3</v>
      </c>
      <c r="E16" s="1"/>
    </row>
    <row r="17" spans="1:5" x14ac:dyDescent="0.45">
      <c r="A17" s="1"/>
      <c r="B17" s="45" t="s">
        <v>12</v>
      </c>
      <c r="C17" s="46"/>
      <c r="D17" s="20"/>
      <c r="E17" s="1"/>
    </row>
    <row r="18" spans="1:5" ht="15" customHeight="1" x14ac:dyDescent="0.45">
      <c r="A18" s="1"/>
      <c r="B18" s="41" t="s">
        <v>12</v>
      </c>
      <c r="C18" s="10">
        <f>'Fane 6. Ikke-påvirkelige omk.'!C19*(1+'Fane 12. Nøgletal'!C13)</f>
        <v>14434520.229417935</v>
      </c>
      <c r="D18" s="11" t="s">
        <v>3</v>
      </c>
      <c r="E18" s="1"/>
    </row>
    <row r="19" spans="1:5" ht="15" customHeight="1" x14ac:dyDescent="0.45">
      <c r="A19" s="1"/>
      <c r="B19" s="45" t="s">
        <v>99</v>
      </c>
      <c r="C19" s="46"/>
      <c r="D19" s="20"/>
      <c r="E19" s="1"/>
    </row>
    <row r="20" spans="1:5" ht="15" customHeight="1" x14ac:dyDescent="0.4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4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45">
      <c r="A22" s="1"/>
      <c r="B22" s="49" t="s">
        <v>100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8" t="s">
        <v>204</v>
      </c>
      <c r="C23" s="46"/>
      <c r="D23" s="20"/>
      <c r="E23" s="1"/>
    </row>
    <row r="24" spans="1:5" ht="15" customHeight="1" x14ac:dyDescent="0.45">
      <c r="A24" s="1"/>
      <c r="B24" s="50" t="s">
        <v>205</v>
      </c>
      <c r="C24" s="10">
        <f>'Fane 7. Kontrol af ØR2019'!E39</f>
        <v>-657284.48011820391</v>
      </c>
      <c r="D24" s="11" t="s">
        <v>3</v>
      </c>
      <c r="E24" s="1"/>
    </row>
    <row r="25" spans="1:5" x14ac:dyDescent="0.45">
      <c r="A25" s="1"/>
      <c r="B25" s="45" t="s">
        <v>32</v>
      </c>
      <c r="C25" s="12">
        <f>SUM(C16,C18,C22,C24)</f>
        <v>35397666.834162191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F2Rarh7roBJyD3W2PAM/QllkXpUyDmQ7pdCIxA2RzSa9M93Q0n0PFE/h6uMS+X5fTfh/ZwgWprJMxm6SeD1UOQ==" saltValue="JtZ0PMjKR1nkdc/D0Nuk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163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21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5" t="s">
        <v>13</v>
      </c>
      <c r="C7" s="46"/>
      <c r="D7" s="20"/>
      <c r="E7" s="1"/>
    </row>
    <row r="8" spans="1:5" ht="15" customHeight="1" x14ac:dyDescent="0.45">
      <c r="A8" s="1"/>
      <c r="B8" s="47" t="s">
        <v>165</v>
      </c>
      <c r="C8" s="7">
        <f>'Fane 2.2. Økonomisk ramme 2022'!C16</f>
        <v>21620431.084862463</v>
      </c>
      <c r="D8" s="8" t="s">
        <v>3</v>
      </c>
      <c r="E8" s="1"/>
    </row>
    <row r="9" spans="1:5" ht="15" customHeight="1" x14ac:dyDescent="0.45">
      <c r="A9" s="1"/>
      <c r="B9" s="47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45">
      <c r="A10" s="1"/>
      <c r="B10" s="47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45">
      <c r="A11" s="1"/>
      <c r="B11" s="39" t="s">
        <v>18</v>
      </c>
      <c r="C11" s="9">
        <f>SUM(C8:C10)*'Fane 12. Nøgletal'!C13</f>
        <v>263769.25923532207</v>
      </c>
      <c r="D11" s="8" t="s">
        <v>3</v>
      </c>
      <c r="E11" s="1"/>
    </row>
    <row r="12" spans="1:5" ht="15" customHeight="1" x14ac:dyDescent="0.45">
      <c r="A12" s="1"/>
      <c r="B12" s="39" t="s">
        <v>9</v>
      </c>
      <c r="C12" s="9">
        <f>-SUM(C8:C11)*'Fane 5. Individuelt eff. krav'!G10</f>
        <v>-437684.00688195572</v>
      </c>
      <c r="D12" s="8" t="s">
        <v>3</v>
      </c>
      <c r="E12" s="1"/>
    </row>
    <row r="13" spans="1:5" ht="15" customHeight="1" x14ac:dyDescent="0.45">
      <c r="A13" s="1"/>
      <c r="B13" s="39" t="s">
        <v>27</v>
      </c>
      <c r="C13" s="9">
        <f>-'Fane 4.1. Gen. krav - drift'!G43</f>
        <v>-193848.96550522037</v>
      </c>
      <c r="D13" s="8" t="s">
        <v>3</v>
      </c>
      <c r="E13" s="1"/>
    </row>
    <row r="14" spans="1:5" ht="15" customHeight="1" x14ac:dyDescent="0.45">
      <c r="A14" s="1"/>
      <c r="B14" s="39" t="s">
        <v>28</v>
      </c>
      <c r="C14" s="9">
        <f>-'Fane 4.2. Gen. krav - anlæg'!G43</f>
        <v>-383835.61187169881</v>
      </c>
      <c r="D14" s="8" t="s">
        <v>3</v>
      </c>
      <c r="E14" s="1"/>
    </row>
    <row r="15" spans="1:5" x14ac:dyDescent="0.45">
      <c r="A15" s="1"/>
      <c r="B15" s="40" t="s">
        <v>20</v>
      </c>
      <c r="C15" s="10">
        <f>SUM(C8:C14)</f>
        <v>20868831.759838913</v>
      </c>
      <c r="D15" s="11" t="s">
        <v>3</v>
      </c>
      <c r="E15" s="1"/>
    </row>
    <row r="16" spans="1:5" x14ac:dyDescent="0.45">
      <c r="A16" s="1"/>
      <c r="B16" s="45" t="s">
        <v>12</v>
      </c>
      <c r="C16" s="46"/>
      <c r="D16" s="20"/>
      <c r="E16" s="1"/>
    </row>
    <row r="17" spans="1:5" ht="15" customHeight="1" x14ac:dyDescent="0.45">
      <c r="A17" s="1"/>
      <c r="B17" s="41" t="s">
        <v>12</v>
      </c>
      <c r="C17" s="10">
        <f>'Fane 6. Ikke-påvirkelige omk.'!C19*(1+'Fane 12. Nøgletal'!C13)^2</f>
        <v>14610621.376216834</v>
      </c>
      <c r="D17" s="11" t="s">
        <v>3</v>
      </c>
      <c r="E17" s="1"/>
    </row>
    <row r="18" spans="1:5" ht="15" customHeight="1" x14ac:dyDescent="0.45">
      <c r="A18" s="1"/>
      <c r="B18" s="45" t="s">
        <v>99</v>
      </c>
      <c r="C18" s="46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45">
      <c r="A21" s="1"/>
      <c r="B21" s="49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45" t="s">
        <v>109</v>
      </c>
      <c r="C22" s="12">
        <f>SUM(C15,C17,C21)</f>
        <v>35479453.136055745</v>
      </c>
      <c r="D22" s="13" t="s">
        <v>3</v>
      </c>
      <c r="E22" s="1"/>
    </row>
    <row r="23" spans="1:5" ht="15" customHeight="1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V+wmnmwiq19URu00aUJOOPqBnrK+FIwrkoCF/0x9sQVZJlqGIG6bdfjq2y/d7iGwrPgRu4BdLqnKo5WtVFpFAg==" saltValue="JZf5L0lWGTkcoeokwr/Y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164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21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5" t="s">
        <v>13</v>
      </c>
      <c r="C7" s="46"/>
      <c r="D7" s="20"/>
      <c r="E7" s="1"/>
    </row>
    <row r="8" spans="1:5" ht="15" customHeight="1" x14ac:dyDescent="0.45">
      <c r="A8" s="1"/>
      <c r="B8" s="47" t="s">
        <v>166</v>
      </c>
      <c r="C8" s="7">
        <f>'Fane 2.3. Økonomisk ramme 2023'!C15</f>
        <v>20868831.759838913</v>
      </c>
      <c r="D8" s="8" t="s">
        <v>3</v>
      </c>
      <c r="E8" s="1"/>
    </row>
    <row r="9" spans="1:5" ht="15" customHeight="1" x14ac:dyDescent="0.45">
      <c r="A9" s="1"/>
      <c r="B9" s="47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45">
      <c r="A10" s="1"/>
      <c r="B10" s="47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45">
      <c r="A11" s="1"/>
      <c r="B11" s="39" t="s">
        <v>18</v>
      </c>
      <c r="C11" s="9">
        <f>SUM(C8:C10)*'Fane 12. Nøgletal'!C13</f>
        <v>254599.74747003475</v>
      </c>
      <c r="D11" s="8" t="s">
        <v>3</v>
      </c>
      <c r="E11" s="1"/>
    </row>
    <row r="12" spans="1:5" ht="15" customHeight="1" x14ac:dyDescent="0.45">
      <c r="A12" s="1"/>
      <c r="B12" s="39" t="s">
        <v>9</v>
      </c>
      <c r="C12" s="9">
        <f>-SUM(C8:C11)*'Fane 5. Individuelt eff. krav'!G10</f>
        <v>-422468.630146179</v>
      </c>
      <c r="D12" s="8" t="s">
        <v>3</v>
      </c>
      <c r="E12" s="1"/>
    </row>
    <row r="13" spans="1:5" ht="15" customHeight="1" x14ac:dyDescent="0.45">
      <c r="A13" s="1"/>
      <c r="B13" s="39" t="s">
        <v>27</v>
      </c>
      <c r="C13" s="9">
        <f>-'Fane 4.1. Gen. krav - drift'!G49</f>
        <v>-192289.64442669638</v>
      </c>
      <c r="D13" s="8" t="s">
        <v>3</v>
      </c>
      <c r="E13" s="1"/>
    </row>
    <row r="14" spans="1:5" ht="15" customHeight="1" x14ac:dyDescent="0.45">
      <c r="A14" s="1"/>
      <c r="B14" s="39" t="s">
        <v>28</v>
      </c>
      <c r="C14" s="9">
        <f>-'Fane 4.2. Gen. krav - anlæg'!G49</f>
        <v>-377834.15016227885</v>
      </c>
      <c r="D14" s="8" t="s">
        <v>3</v>
      </c>
      <c r="E14" s="1"/>
    </row>
    <row r="15" spans="1:5" x14ac:dyDescent="0.45">
      <c r="A15" s="1"/>
      <c r="B15" s="40" t="s">
        <v>20</v>
      </c>
      <c r="C15" s="10">
        <f>SUM(C8:C14)</f>
        <v>20130839.082573794</v>
      </c>
      <c r="D15" s="11" t="s">
        <v>3</v>
      </c>
      <c r="E15" s="1"/>
    </row>
    <row r="16" spans="1:5" x14ac:dyDescent="0.45">
      <c r="A16" s="1"/>
      <c r="B16" s="45" t="s">
        <v>12</v>
      </c>
      <c r="C16" s="46"/>
      <c r="D16" s="20"/>
      <c r="E16" s="1"/>
    </row>
    <row r="17" spans="1:5" ht="15" customHeight="1" x14ac:dyDescent="0.45">
      <c r="A17" s="1"/>
      <c r="B17" s="41" t="s">
        <v>12</v>
      </c>
      <c r="C17" s="10">
        <f>'Fane 6. Ikke-påvirkelige omk.'!C19*(1+'Fane 12. Nøgletal'!C13)^3</f>
        <v>14788870.95700668</v>
      </c>
      <c r="D17" s="11" t="s">
        <v>3</v>
      </c>
      <c r="E17" s="1"/>
    </row>
    <row r="18" spans="1:5" ht="15" customHeight="1" x14ac:dyDescent="0.45">
      <c r="A18" s="1"/>
      <c r="B18" s="45" t="s">
        <v>99</v>
      </c>
      <c r="C18" s="46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45">
      <c r="A21" s="1"/>
      <c r="B21" s="49" t="s">
        <v>100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45" t="s">
        <v>248</v>
      </c>
      <c r="C22" s="12">
        <f>SUM(C15,C17,C21)</f>
        <v>34919710.039580472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7W30iVgk9SLDUDhB7YRUKLZXT8mmzTIM9qVC/VlmiCs/NgJv8HH4roh3nw53hz2yZKs9BBbB+44g5R/jXFZYfA==" saltValue="FRNq77RDjvs+Yer85vxq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2" t="s">
        <v>180</v>
      </c>
      <c r="C3" s="82"/>
      <c r="D3" s="82"/>
      <c r="E3" s="82"/>
      <c r="F3" s="82"/>
      <c r="G3" s="1"/>
    </row>
    <row r="4" spans="1:7" ht="29.25" customHeight="1" x14ac:dyDescent="0.45">
      <c r="A4" s="1"/>
      <c r="B4" s="82"/>
      <c r="C4" s="82"/>
      <c r="D4" s="82"/>
      <c r="E4" s="82"/>
      <c r="F4" s="8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5" t="s">
        <v>167</v>
      </c>
      <c r="C8" s="46"/>
      <c r="D8" s="46"/>
      <c r="E8" s="46"/>
      <c r="F8" s="20"/>
      <c r="G8" s="1"/>
    </row>
    <row r="9" spans="1:7" x14ac:dyDescent="0.45">
      <c r="A9" s="1"/>
      <c r="B9" s="83" t="s">
        <v>23</v>
      </c>
      <c r="C9" s="84"/>
      <c r="D9" s="85"/>
      <c r="E9" s="7">
        <v>21468737.952134486</v>
      </c>
      <c r="F9" s="8" t="s">
        <v>3</v>
      </c>
      <c r="G9" s="1"/>
    </row>
    <row r="10" spans="1:7" ht="15" customHeight="1" x14ac:dyDescent="0.45">
      <c r="A10" s="1"/>
      <c r="B10" s="74" t="s">
        <v>45</v>
      </c>
      <c r="C10" s="75"/>
      <c r="D10" s="76"/>
      <c r="E10" s="7">
        <v>130931.5194</v>
      </c>
      <c r="F10" s="8" t="s">
        <v>3</v>
      </c>
      <c r="G10" s="1"/>
    </row>
    <row r="11" spans="1:7" ht="15" customHeight="1" x14ac:dyDescent="0.45">
      <c r="A11" s="1"/>
      <c r="B11" s="74" t="s">
        <v>46</v>
      </c>
      <c r="C11" s="75"/>
      <c r="D11" s="76"/>
      <c r="E11" s="9">
        <v>990647.91677725525</v>
      </c>
      <c r="F11" s="8" t="s">
        <v>3</v>
      </c>
      <c r="G11" s="1"/>
    </row>
    <row r="12" spans="1:7" x14ac:dyDescent="0.45">
      <c r="A12" s="1"/>
      <c r="B12" s="74" t="s">
        <v>30</v>
      </c>
      <c r="C12" s="75"/>
      <c r="D12" s="76"/>
      <c r="E12" s="9">
        <v>0</v>
      </c>
      <c r="F12" s="8" t="s">
        <v>3</v>
      </c>
      <c r="G12" s="1"/>
    </row>
    <row r="13" spans="1:7" x14ac:dyDescent="0.45">
      <c r="A13" s="1"/>
      <c r="B13" s="74" t="s">
        <v>29</v>
      </c>
      <c r="C13" s="75"/>
      <c r="D13" s="76"/>
      <c r="E13" s="9">
        <v>0</v>
      </c>
      <c r="F13" s="8" t="s">
        <v>3</v>
      </c>
      <c r="G13" s="1"/>
    </row>
    <row r="14" spans="1:7" x14ac:dyDescent="0.45">
      <c r="A14" s="1"/>
      <c r="B14" s="74" t="s">
        <v>159</v>
      </c>
      <c r="C14" s="75"/>
      <c r="D14" s="76"/>
      <c r="E14" s="9">
        <v>0</v>
      </c>
      <c r="F14" s="8" t="s">
        <v>3</v>
      </c>
      <c r="G14" s="1"/>
    </row>
    <row r="15" spans="1:7" x14ac:dyDescent="0.45">
      <c r="A15" s="1"/>
      <c r="B15" s="74" t="s">
        <v>160</v>
      </c>
      <c r="C15" s="75"/>
      <c r="D15" s="76"/>
      <c r="E15" s="9">
        <v>0</v>
      </c>
      <c r="F15" s="8" t="s">
        <v>3</v>
      </c>
      <c r="G15" s="1"/>
    </row>
    <row r="16" spans="1:7" x14ac:dyDescent="0.45">
      <c r="A16" s="1"/>
      <c r="B16" s="74" t="s">
        <v>18</v>
      </c>
      <c r="C16" s="75"/>
      <c r="D16" s="76"/>
      <c r="E16" s="9">
        <f>E9*'Fane 12. Nøgletal'!C11+SUM(E10:E15)*'Fane 12. Nøgletal'!C12</f>
        <v>384916.78628376476</v>
      </c>
      <c r="F16" s="8" t="s">
        <v>3</v>
      </c>
      <c r="G16" s="1"/>
    </row>
    <row r="17" spans="1:7" x14ac:dyDescent="0.45">
      <c r="A17" s="1"/>
      <c r="B17" s="74" t="s">
        <v>9</v>
      </c>
      <c r="C17" s="75"/>
      <c r="D17" s="76"/>
      <c r="E17" s="9">
        <f>-SUM(E9:E16)*'Fane 5. Individuelt eff. krav'!G9</f>
        <v>-334642.56654107635</v>
      </c>
      <c r="F17" s="8" t="s">
        <v>3</v>
      </c>
      <c r="G17" s="1"/>
    </row>
    <row r="18" spans="1:7" x14ac:dyDescent="0.45">
      <c r="A18" s="1"/>
      <c r="B18" s="74" t="s">
        <v>27</v>
      </c>
      <c r="C18" s="75"/>
      <c r="D18" s="76"/>
      <c r="E18" s="9">
        <f>-'Fane 4.1. Gen. krav - drift'!G25</f>
        <v>-183092.64878519901</v>
      </c>
      <c r="F18" s="8" t="s">
        <v>3</v>
      </c>
      <c r="G18" s="1"/>
    </row>
    <row r="19" spans="1:7" x14ac:dyDescent="0.45">
      <c r="A19" s="1"/>
      <c r="B19" s="74" t="s">
        <v>28</v>
      </c>
      <c r="C19" s="75"/>
      <c r="D19" s="76"/>
      <c r="E19" s="9">
        <f>-'Fane 4.2. Gen. krav - anlæg'!G25</f>
        <v>-144163.64397253669</v>
      </c>
      <c r="F19" s="8" t="s">
        <v>3</v>
      </c>
      <c r="G19" s="1"/>
    </row>
    <row r="20" spans="1:7" x14ac:dyDescent="0.45">
      <c r="A20" s="1"/>
      <c r="B20" s="89" t="s">
        <v>20</v>
      </c>
      <c r="C20" s="90"/>
      <c r="D20" s="91"/>
      <c r="E20" s="10">
        <f>SUM(E9:E19)</f>
        <v>22313335.315296695</v>
      </c>
      <c r="F20" s="11" t="s">
        <v>3</v>
      </c>
      <c r="G20" s="1"/>
    </row>
    <row r="21" spans="1:7" x14ac:dyDescent="0.45">
      <c r="A21" s="1"/>
      <c r="B21" s="77" t="s">
        <v>12</v>
      </c>
      <c r="C21" s="78"/>
      <c r="D21" s="78"/>
      <c r="E21" s="46"/>
      <c r="F21" s="20"/>
      <c r="G21" s="1"/>
    </row>
    <row r="22" spans="1:7" x14ac:dyDescent="0.45">
      <c r="A22" s="1"/>
      <c r="B22" s="79" t="s">
        <v>12</v>
      </c>
      <c r="C22" s="80"/>
      <c r="D22" s="81"/>
      <c r="E22" s="10">
        <v>12990461.489115661</v>
      </c>
      <c r="F22" s="11" t="s">
        <v>3</v>
      </c>
      <c r="G22" s="1"/>
    </row>
    <row r="23" spans="1:7" ht="15" customHeight="1" x14ac:dyDescent="0.45">
      <c r="A23" s="1"/>
      <c r="B23" s="77" t="s">
        <v>99</v>
      </c>
      <c r="C23" s="78"/>
      <c r="D23" s="78"/>
      <c r="E23" s="46"/>
      <c r="F23" s="46"/>
      <c r="G23" s="1"/>
    </row>
    <row r="24" spans="1:7" ht="14.25" customHeight="1" x14ac:dyDescent="0.45">
      <c r="A24" s="1"/>
      <c r="B24" s="86" t="s">
        <v>95</v>
      </c>
      <c r="C24" s="87"/>
      <c r="D24" s="88"/>
      <c r="E24" s="9">
        <v>0</v>
      </c>
      <c r="F24" s="8" t="s">
        <v>3</v>
      </c>
      <c r="G24" s="1"/>
    </row>
    <row r="25" spans="1:7" ht="14.25" customHeight="1" x14ac:dyDescent="0.45">
      <c r="A25" s="1"/>
      <c r="B25" s="86" t="s">
        <v>96</v>
      </c>
      <c r="C25" s="87"/>
      <c r="D25" s="88"/>
      <c r="E25" s="9">
        <v>0</v>
      </c>
      <c r="F25" s="8" t="s">
        <v>3</v>
      </c>
      <c r="G25" s="1"/>
    </row>
    <row r="26" spans="1:7" x14ac:dyDescent="0.45">
      <c r="A26" s="1"/>
      <c r="B26" s="92" t="s">
        <v>100</v>
      </c>
      <c r="C26" s="93"/>
      <c r="D26" s="93"/>
      <c r="E26" s="10">
        <v>0</v>
      </c>
      <c r="F26" s="11" t="s">
        <v>3</v>
      </c>
      <c r="G26" s="1"/>
    </row>
    <row r="27" spans="1:7" ht="14.25" customHeight="1" x14ac:dyDescent="0.45">
      <c r="A27" s="1"/>
      <c r="B27" s="45" t="s">
        <v>228</v>
      </c>
      <c r="C27" s="46"/>
      <c r="D27" s="46"/>
      <c r="E27" s="46"/>
      <c r="F27" s="46"/>
      <c r="G27" s="1"/>
    </row>
    <row r="28" spans="1:7" ht="13.15" customHeight="1" x14ac:dyDescent="0.45">
      <c r="A28" s="1"/>
      <c r="B28" s="92" t="s">
        <v>229</v>
      </c>
      <c r="C28" s="93"/>
      <c r="D28" s="94"/>
      <c r="E28" s="10">
        <v>0</v>
      </c>
      <c r="F28" s="11" t="s">
        <v>3</v>
      </c>
      <c r="G28" s="1"/>
    </row>
    <row r="29" spans="1:7" x14ac:dyDescent="0.45">
      <c r="A29" s="1"/>
      <c r="B29" s="45" t="s">
        <v>230</v>
      </c>
      <c r="C29" s="46"/>
      <c r="D29" s="46"/>
      <c r="E29" s="46"/>
      <c r="F29" s="20"/>
      <c r="G29" s="1"/>
    </row>
    <row r="30" spans="1:7" ht="15" customHeight="1" x14ac:dyDescent="0.45">
      <c r="A30" s="1"/>
      <c r="B30" s="92" t="s">
        <v>231</v>
      </c>
      <c r="C30" s="93"/>
      <c r="D30" s="94"/>
      <c r="E30" s="10">
        <v>-658810.91176397051</v>
      </c>
      <c r="F30" s="11" t="s">
        <v>3</v>
      </c>
      <c r="G30" s="1"/>
    </row>
    <row r="31" spans="1:7" x14ac:dyDescent="0.45">
      <c r="A31" s="1"/>
      <c r="B31" s="45" t="s">
        <v>232</v>
      </c>
      <c r="C31" s="46"/>
      <c r="D31" s="46"/>
      <c r="E31" s="46"/>
      <c r="F31" s="20"/>
      <c r="G31" s="1"/>
    </row>
    <row r="32" spans="1:7" x14ac:dyDescent="0.45">
      <c r="A32" s="1"/>
      <c r="B32" s="79" t="s">
        <v>233</v>
      </c>
      <c r="C32" s="80"/>
      <c r="D32" s="81"/>
      <c r="E32" s="10">
        <v>22670.663863462047</v>
      </c>
      <c r="F32" s="11" t="s">
        <v>3</v>
      </c>
      <c r="G32" s="1"/>
    </row>
    <row r="33" spans="1:7" x14ac:dyDescent="0.45">
      <c r="A33" s="1"/>
      <c r="B33" s="45" t="s">
        <v>24</v>
      </c>
      <c r="C33" s="46"/>
      <c r="D33" s="46"/>
      <c r="E33" s="12">
        <f>SUM(E30,E26,E28,E22,E20,E32)</f>
        <v>34667656.556511849</v>
      </c>
      <c r="F33" s="13" t="s">
        <v>3</v>
      </c>
      <c r="G33" s="1"/>
    </row>
    <row r="34" spans="1:7" ht="28.15" customHeight="1" x14ac:dyDescent="0.45">
      <c r="A34" s="1"/>
      <c r="B34" s="86" t="s">
        <v>179</v>
      </c>
      <c r="C34" s="87"/>
      <c r="D34" s="87"/>
      <c r="E34" s="87"/>
      <c r="F34" s="88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ht="14.25" customHeight="1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</sheetData>
  <sheetProtection algorithmName="SHA-512" hashValue="GfVv5A/jdIeKyA/elJoZd1t+8eaDp1eNpEaZvKELjV2XmynSzsiHS2VSbqGkWzXCrY8ZL9ItnumiJEwohWIg8g==" saltValue="quveyUDHgLMWmzmhSK0dKg==" spinCount="100000" sheet="1" objects="1" scenarios="1"/>
  <mergeCells count="23"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  <mergeCell ref="B3:F4"/>
    <mergeCell ref="B9:D9"/>
    <mergeCell ref="B10:D10"/>
    <mergeCell ref="B11:D11"/>
    <mergeCell ref="B12:D12"/>
    <mergeCell ref="B13:D13"/>
    <mergeCell ref="B14:D14"/>
    <mergeCell ref="B15:D15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72" t="s">
        <v>138</v>
      </c>
      <c r="C1" s="72"/>
      <c r="D1" s="72"/>
      <c r="E1" s="72"/>
      <c r="F1" s="72"/>
      <c r="G1" s="72"/>
      <c r="H1" s="72"/>
      <c r="I1" s="1"/>
    </row>
    <row r="2" spans="1:9" ht="15" customHeight="1" x14ac:dyDescent="0.45">
      <c r="A2" s="1"/>
      <c r="B2" s="72"/>
      <c r="C2" s="72"/>
      <c r="D2" s="72"/>
      <c r="E2" s="72"/>
      <c r="F2" s="72"/>
      <c r="G2" s="72"/>
      <c r="H2" s="72"/>
      <c r="I2" s="1"/>
    </row>
    <row r="3" spans="1:9" ht="15" customHeight="1" x14ac:dyDescent="0.45">
      <c r="A3" s="1"/>
      <c r="B3" s="72"/>
      <c r="C3" s="72"/>
      <c r="D3" s="72"/>
      <c r="E3" s="72"/>
      <c r="F3" s="72"/>
      <c r="G3" s="72"/>
      <c r="H3" s="72"/>
      <c r="I3" s="1"/>
    </row>
    <row r="4" spans="1:9" x14ac:dyDescent="0.45">
      <c r="A4" s="1"/>
      <c r="B4" s="95" t="s">
        <v>64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98" t="s">
        <v>53</v>
      </c>
      <c r="C5" s="99"/>
      <c r="D5" s="99"/>
      <c r="E5" s="99"/>
      <c r="F5" s="100"/>
      <c r="G5" s="24">
        <v>9169487.8792452477</v>
      </c>
      <c r="H5" s="14" t="s">
        <v>3</v>
      </c>
      <c r="I5" s="1"/>
    </row>
    <row r="6" spans="1:9" x14ac:dyDescent="0.45">
      <c r="A6" s="1"/>
      <c r="B6" s="98" t="s">
        <v>54</v>
      </c>
      <c r="C6" s="99"/>
      <c r="D6" s="99"/>
      <c r="E6" s="99"/>
      <c r="F6" s="100"/>
      <c r="G6" s="24">
        <f>G5*'Fane 12. Nøgletal'!C27</f>
        <v>183389.75758490496</v>
      </c>
      <c r="H6" s="14" t="s">
        <v>3</v>
      </c>
      <c r="I6" s="1"/>
    </row>
    <row r="7" spans="1:9" x14ac:dyDescent="0.45">
      <c r="A7" s="1"/>
      <c r="B7" s="45"/>
      <c r="C7" s="46"/>
      <c r="D7" s="46"/>
      <c r="E7" s="46"/>
      <c r="F7" s="46"/>
      <c r="G7" s="46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65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98" t="s">
        <v>55</v>
      </c>
      <c r="C10" s="99"/>
      <c r="D10" s="99"/>
      <c r="E10" s="99"/>
      <c r="F10" s="100"/>
      <c r="G10" s="24">
        <f>(G5-G6)*(1+'Fane 12. Nøgletal'!C9)</f>
        <v>9100221.5678054281</v>
      </c>
      <c r="H10" s="14" t="s">
        <v>3</v>
      </c>
      <c r="I10" s="1"/>
    </row>
    <row r="11" spans="1:9" x14ac:dyDescent="0.45">
      <c r="A11" s="1"/>
      <c r="B11" s="101" t="s">
        <v>56</v>
      </c>
      <c r="C11" s="102"/>
      <c r="D11" s="102"/>
      <c r="E11" s="102"/>
      <c r="F11" s="103"/>
      <c r="G11" s="24">
        <v>0</v>
      </c>
      <c r="H11" s="14" t="s">
        <v>3</v>
      </c>
      <c r="I11" s="1"/>
    </row>
    <row r="12" spans="1:9" x14ac:dyDescent="0.45">
      <c r="A12" s="1"/>
      <c r="B12" s="98" t="s">
        <v>57</v>
      </c>
      <c r="C12" s="99"/>
      <c r="D12" s="99"/>
      <c r="E12" s="99"/>
      <c r="F12" s="100"/>
      <c r="G12" s="24">
        <f>(G10+G11)*'Fane 12. Nøgletal'!C27</f>
        <v>182004.43135610857</v>
      </c>
      <c r="H12" s="14" t="s">
        <v>3</v>
      </c>
      <c r="I12" s="1"/>
    </row>
    <row r="13" spans="1:9" x14ac:dyDescent="0.45">
      <c r="A13" s="1"/>
      <c r="B13" s="45"/>
      <c r="C13" s="46"/>
      <c r="D13" s="46"/>
      <c r="E13" s="46"/>
      <c r="F13" s="46"/>
      <c r="G13" s="46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5" t="s">
        <v>66</v>
      </c>
      <c r="C15" s="96"/>
      <c r="D15" s="96"/>
      <c r="E15" s="96"/>
      <c r="F15" s="96"/>
      <c r="G15" s="96"/>
      <c r="H15" s="97"/>
      <c r="I15" s="1"/>
    </row>
    <row r="16" spans="1:9" x14ac:dyDescent="0.45">
      <c r="A16" s="1"/>
      <c r="B16" s="98" t="s">
        <v>58</v>
      </c>
      <c r="C16" s="99"/>
      <c r="D16" s="99"/>
      <c r="E16" s="99"/>
      <c r="F16" s="100"/>
      <c r="G16" s="24">
        <f>(G10-G12)*(1+'Fane 12. Nøgletal'!C11)</f>
        <v>9068935.0060553122</v>
      </c>
      <c r="H16" s="14" t="s">
        <v>3</v>
      </c>
      <c r="I16" s="1"/>
    </row>
    <row r="17" spans="1:9" x14ac:dyDescent="0.45">
      <c r="A17" s="1"/>
      <c r="B17" s="98" t="s">
        <v>148</v>
      </c>
      <c r="C17" s="99"/>
      <c r="D17" s="99"/>
      <c r="E17" s="99"/>
      <c r="F17" s="100"/>
      <c r="G17" s="24">
        <v>-16691.825071318628</v>
      </c>
      <c r="H17" s="14" t="s">
        <v>3</v>
      </c>
      <c r="I17" s="1"/>
    </row>
    <row r="18" spans="1:9" x14ac:dyDescent="0.45">
      <c r="A18" s="1"/>
      <c r="B18" s="101" t="s">
        <v>59</v>
      </c>
      <c r="C18" s="102"/>
      <c r="D18" s="102"/>
      <c r="E18" s="102"/>
      <c r="F18" s="103"/>
      <c r="G18" s="24">
        <v>0</v>
      </c>
      <c r="H18" s="14" t="s">
        <v>3</v>
      </c>
      <c r="I18" s="1"/>
    </row>
    <row r="19" spans="1:9" x14ac:dyDescent="0.45">
      <c r="A19" s="1"/>
      <c r="B19" s="98" t="s">
        <v>60</v>
      </c>
      <c r="C19" s="99"/>
      <c r="D19" s="99"/>
      <c r="E19" s="99"/>
      <c r="F19" s="100"/>
      <c r="G19" s="24">
        <f>SUM(G16:G18)*'Fane 12. Nøgletal'!C27</f>
        <v>181044.86361967988</v>
      </c>
      <c r="H19" s="14" t="s">
        <v>3</v>
      </c>
      <c r="I19" s="1"/>
    </row>
    <row r="20" spans="1:9" x14ac:dyDescent="0.45">
      <c r="A20" s="1"/>
      <c r="B20" s="45"/>
      <c r="C20" s="46"/>
      <c r="D20" s="46"/>
      <c r="E20" s="46"/>
      <c r="F20" s="46"/>
      <c r="G20" s="46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67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98" t="s">
        <v>61</v>
      </c>
      <c r="C23" s="99"/>
      <c r="D23" s="99"/>
      <c r="E23" s="99"/>
      <c r="F23" s="100"/>
      <c r="G23" s="24">
        <f>(SUM(G16:G18)-G19)*(1+'Fane 12. Nøgletal'!C11)</f>
        <v>9021121.5689277705</v>
      </c>
      <c r="H23" s="14" t="s">
        <v>3</v>
      </c>
      <c r="I23" s="1"/>
    </row>
    <row r="24" spans="1:9" x14ac:dyDescent="0.45">
      <c r="A24" s="1"/>
      <c r="B24" s="101" t="s">
        <v>62</v>
      </c>
      <c r="C24" s="102"/>
      <c r="D24" s="102"/>
      <c r="E24" s="102"/>
      <c r="F24" s="103"/>
      <c r="G24" s="24">
        <v>133510.87033218</v>
      </c>
      <c r="H24" s="14" t="s">
        <v>3</v>
      </c>
      <c r="I24" s="1"/>
    </row>
    <row r="25" spans="1:9" x14ac:dyDescent="0.45">
      <c r="A25" s="1"/>
      <c r="B25" s="98" t="s">
        <v>63</v>
      </c>
      <c r="C25" s="99"/>
      <c r="D25" s="99"/>
      <c r="E25" s="99"/>
      <c r="F25" s="100"/>
      <c r="G25" s="24">
        <f>(G23+G24)*'Fane 12. Nøgletal'!C27</f>
        <v>183092.64878519901</v>
      </c>
      <c r="H25" s="14" t="s">
        <v>3</v>
      </c>
      <c r="I25" s="1"/>
    </row>
    <row r="26" spans="1:9" x14ac:dyDescent="0.45">
      <c r="A26" s="1"/>
      <c r="B26" s="45"/>
      <c r="C26" s="46"/>
      <c r="D26" s="46"/>
      <c r="E26" s="46"/>
      <c r="F26" s="46"/>
      <c r="G26" s="46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222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98" t="s">
        <v>70</v>
      </c>
      <c r="C29" s="99"/>
      <c r="D29" s="99"/>
      <c r="E29" s="99"/>
      <c r="F29" s="100"/>
      <c r="G29" s="24">
        <f>(G23+G24-G25)*(1+'Fane 12. Nøgletal'!C13)</f>
        <v>9080992.5759185441</v>
      </c>
      <c r="H29" s="14" t="s">
        <v>3</v>
      </c>
      <c r="I29" s="1"/>
    </row>
    <row r="30" spans="1:9" x14ac:dyDescent="0.45">
      <c r="A30" s="1"/>
      <c r="B30" s="98" t="s">
        <v>187</v>
      </c>
      <c r="C30" s="99"/>
      <c r="D30" s="99"/>
      <c r="E30" s="99"/>
      <c r="F30" s="100"/>
      <c r="G30" s="24">
        <f>SUM('Fane 2.1. Økonomisk ramme 2021'!C10,'Fane 2.1. Økonomisk ramme 2021'!C12,'Fane 2.1. Økonomisk ramme 2021'!C14)*(1+'Fane 12. Nøgletal'!C13)</f>
        <v>769289.66835587996</v>
      </c>
      <c r="H30" s="14" t="s">
        <v>3</v>
      </c>
      <c r="I30" s="1"/>
    </row>
    <row r="31" spans="1:9" x14ac:dyDescent="0.45">
      <c r="A31" s="1"/>
      <c r="B31" s="98" t="s">
        <v>199</v>
      </c>
      <c r="C31" s="99"/>
      <c r="D31" s="99"/>
      <c r="E31" s="99"/>
      <c r="F31" s="100"/>
      <c r="G31" s="24">
        <f>(G29+G30)*'Fane 12. Nøgletal'!C27</f>
        <v>197005.64488548849</v>
      </c>
      <c r="H31" s="14" t="s">
        <v>3</v>
      </c>
      <c r="I31" s="1"/>
    </row>
    <row r="32" spans="1:9" x14ac:dyDescent="0.45">
      <c r="A32" s="1"/>
      <c r="B32" s="45"/>
      <c r="C32" s="46"/>
      <c r="D32" s="46"/>
      <c r="E32" s="46"/>
      <c r="F32" s="46"/>
      <c r="G32" s="46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223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98" t="s">
        <v>90</v>
      </c>
      <c r="C35" s="99"/>
      <c r="D35" s="99"/>
      <c r="E35" s="99"/>
      <c r="F35" s="100"/>
      <c r="G35" s="24">
        <f>(G29+G30-G31)*(1+'Fane 12. Nøgletal'!C13)</f>
        <v>9771046.5739014819</v>
      </c>
      <c r="H35" s="14" t="s">
        <v>3</v>
      </c>
      <c r="I35" s="1"/>
    </row>
    <row r="36" spans="1:9" x14ac:dyDescent="0.45">
      <c r="A36" s="1"/>
      <c r="B36" s="98" t="s">
        <v>102</v>
      </c>
      <c r="C36" s="99"/>
      <c r="D36" s="99"/>
      <c r="E36" s="99"/>
      <c r="F36" s="100"/>
      <c r="G36" s="24">
        <f>-'Fane 11. Bortfald'!C19*(1+'Fane 12. Nøgletal'!C13)</f>
        <v>0</v>
      </c>
      <c r="H36" s="14" t="s">
        <v>3</v>
      </c>
      <c r="I36" s="1"/>
    </row>
    <row r="37" spans="1:9" x14ac:dyDescent="0.45">
      <c r="A37" s="1"/>
      <c r="B37" s="98" t="s">
        <v>224</v>
      </c>
      <c r="C37" s="99"/>
      <c r="D37" s="99"/>
      <c r="E37" s="99"/>
      <c r="F37" s="100"/>
      <c r="G37" s="24">
        <f>(G35+G36)*'Fane 12. Nøgletal'!C27</f>
        <v>195420.93147802964</v>
      </c>
      <c r="H37" s="14" t="s">
        <v>3</v>
      </c>
      <c r="I37" s="1"/>
    </row>
    <row r="38" spans="1:9" x14ac:dyDescent="0.45">
      <c r="A38" s="1"/>
      <c r="B38" s="45"/>
      <c r="C38" s="46"/>
      <c r="D38" s="46"/>
      <c r="E38" s="46"/>
      <c r="F38" s="46"/>
      <c r="G38" s="46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91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98" t="s">
        <v>89</v>
      </c>
      <c r="C41" s="99"/>
      <c r="D41" s="99"/>
      <c r="E41" s="99"/>
      <c r="F41" s="100"/>
      <c r="G41" s="24">
        <f>(G35+G36-G37)*(1+'Fane 12. Nøgletal'!C13)</f>
        <v>9692448.2752610184</v>
      </c>
      <c r="H41" s="14" t="s">
        <v>3</v>
      </c>
      <c r="I41" s="1"/>
    </row>
    <row r="42" spans="1:9" x14ac:dyDescent="0.45">
      <c r="A42" s="1"/>
      <c r="B42" s="98" t="s">
        <v>103</v>
      </c>
      <c r="C42" s="99"/>
      <c r="D42" s="99"/>
      <c r="E42" s="99"/>
      <c r="F42" s="100"/>
      <c r="G42" s="24">
        <f>-'Fane 11. Bortfald'!C26*(1+'Fane 12. Nøgletal'!C13)</f>
        <v>0</v>
      </c>
      <c r="H42" s="14" t="s">
        <v>3</v>
      </c>
      <c r="I42" s="1"/>
    </row>
    <row r="43" spans="1:9" x14ac:dyDescent="0.45">
      <c r="A43" s="1"/>
      <c r="B43" s="98" t="s">
        <v>71</v>
      </c>
      <c r="C43" s="99"/>
      <c r="D43" s="99"/>
      <c r="E43" s="99"/>
      <c r="F43" s="100"/>
      <c r="G43" s="24">
        <f>(G41+G42)*'Fane 12. Nøgletal'!C27</f>
        <v>193848.96550522037</v>
      </c>
      <c r="H43" s="14" t="s">
        <v>3</v>
      </c>
      <c r="I43" s="1"/>
    </row>
    <row r="44" spans="1:9" x14ac:dyDescent="0.45">
      <c r="A44" s="1"/>
      <c r="B44" s="45"/>
      <c r="C44" s="46"/>
      <c r="D44" s="46"/>
      <c r="E44" s="46"/>
      <c r="F44" s="46"/>
      <c r="G44" s="46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5" t="s">
        <v>188</v>
      </c>
      <c r="C46" s="96"/>
      <c r="D46" s="96"/>
      <c r="E46" s="96"/>
      <c r="F46" s="96"/>
      <c r="G46" s="96"/>
      <c r="H46" s="97"/>
      <c r="I46" s="1"/>
    </row>
    <row r="47" spans="1:9" x14ac:dyDescent="0.45">
      <c r="A47" s="1"/>
      <c r="B47" s="98" t="s">
        <v>189</v>
      </c>
      <c r="C47" s="99"/>
      <c r="D47" s="99"/>
      <c r="E47" s="99"/>
      <c r="F47" s="100"/>
      <c r="G47" s="24">
        <f>(G41+G42-G43)*(1+'Fane 12. Nøgletal'!C13)</f>
        <v>9614482.2213348188</v>
      </c>
      <c r="H47" s="14" t="s">
        <v>3</v>
      </c>
      <c r="I47" s="1"/>
    </row>
    <row r="48" spans="1:9" x14ac:dyDescent="0.45">
      <c r="A48" s="1"/>
      <c r="B48" s="98" t="s">
        <v>190</v>
      </c>
      <c r="C48" s="99"/>
      <c r="D48" s="99"/>
      <c r="E48" s="99"/>
      <c r="F48" s="100"/>
      <c r="G48" s="24">
        <f>-'Fane 11. Bortfald'!C33*(1+'Fane 12. Nøgletal'!C13)</f>
        <v>0</v>
      </c>
      <c r="H48" s="14" t="s">
        <v>3</v>
      </c>
      <c r="I48" s="1"/>
    </row>
    <row r="49" spans="1:9" x14ac:dyDescent="0.45">
      <c r="A49" s="1"/>
      <c r="B49" s="98" t="s">
        <v>191</v>
      </c>
      <c r="C49" s="99"/>
      <c r="D49" s="99"/>
      <c r="E49" s="99"/>
      <c r="F49" s="100"/>
      <c r="G49" s="24">
        <f>(G47+G48)*'Fane 12. Nøgletal'!C27</f>
        <v>192289.64442669638</v>
      </c>
      <c r="H49" s="14" t="s">
        <v>3</v>
      </c>
      <c r="I49" s="1"/>
    </row>
    <row r="50" spans="1:9" x14ac:dyDescent="0.45">
      <c r="A50" s="1"/>
      <c r="B50" s="45"/>
      <c r="C50" s="46"/>
      <c r="D50" s="46"/>
      <c r="E50" s="46"/>
      <c r="F50" s="46"/>
      <c r="G50" s="46"/>
      <c r="H50" s="20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  <mergeCell ref="B11:F11"/>
    <mergeCell ref="B12:F12"/>
    <mergeCell ref="B16:F16"/>
    <mergeCell ref="B18:F18"/>
    <mergeCell ref="B17:F17"/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65">
      <c r="A2" s="1"/>
      <c r="B2" s="104" t="s">
        <v>139</v>
      </c>
      <c r="C2" s="104"/>
      <c r="D2" s="104"/>
      <c r="E2" s="104"/>
      <c r="F2" s="104"/>
      <c r="G2" s="104"/>
      <c r="H2" s="104"/>
      <c r="I2" s="1"/>
    </row>
    <row r="3" spans="1:9" ht="15" customHeight="1" x14ac:dyDescent="0.55000000000000004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45">
      <c r="A4" s="1"/>
      <c r="B4" s="95" t="s">
        <v>68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98" t="s">
        <v>72</v>
      </c>
      <c r="C5" s="99"/>
      <c r="D5" s="99"/>
      <c r="E5" s="99"/>
      <c r="F5" s="100"/>
      <c r="G5" s="24">
        <v>12941210.375506559</v>
      </c>
      <c r="H5" s="14" t="s">
        <v>3</v>
      </c>
      <c r="I5" s="1"/>
    </row>
    <row r="6" spans="1:9" x14ac:dyDescent="0.45">
      <c r="A6" s="1"/>
      <c r="B6" s="98" t="s">
        <v>69</v>
      </c>
      <c r="C6" s="99"/>
      <c r="D6" s="99"/>
      <c r="E6" s="99"/>
      <c r="F6" s="100"/>
      <c r="G6" s="24">
        <f>G5*'Fane 12. Nøgletal'!C18</f>
        <v>117765.01441710969</v>
      </c>
      <c r="H6" s="14" t="s">
        <v>3</v>
      </c>
      <c r="I6" s="1"/>
    </row>
    <row r="7" spans="1:9" x14ac:dyDescent="0.45">
      <c r="A7" s="1"/>
      <c r="B7" s="45"/>
      <c r="C7" s="46"/>
      <c r="D7" s="46"/>
      <c r="E7" s="46"/>
      <c r="F7" s="46"/>
      <c r="G7" s="46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73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98" t="s">
        <v>74</v>
      </c>
      <c r="C10" s="99"/>
      <c r="D10" s="99"/>
      <c r="E10" s="99"/>
      <c r="F10" s="100"/>
      <c r="G10" s="24">
        <f>(G5-G6)*(1+'Fane 12. Nøgletal'!C9)</f>
        <v>12986303.117175285</v>
      </c>
      <c r="H10" s="14" t="s">
        <v>3</v>
      </c>
      <c r="I10" s="1"/>
    </row>
    <row r="11" spans="1:9" x14ac:dyDescent="0.45">
      <c r="A11" s="1"/>
      <c r="B11" s="101" t="s">
        <v>75</v>
      </c>
      <c r="C11" s="102"/>
      <c r="D11" s="102"/>
      <c r="E11" s="102"/>
      <c r="F11" s="103"/>
      <c r="G11" s="24">
        <v>0</v>
      </c>
      <c r="H11" s="14" t="s">
        <v>3</v>
      </c>
      <c r="I11" s="1"/>
    </row>
    <row r="12" spans="1:9" x14ac:dyDescent="0.45">
      <c r="A12" s="1"/>
      <c r="B12" s="98" t="s">
        <v>76</v>
      </c>
      <c r="C12" s="99"/>
      <c r="D12" s="99"/>
      <c r="E12" s="99"/>
      <c r="F12" s="100"/>
      <c r="G12" s="24">
        <f>G10*'Fane 12. Nøgletal'!C18+G11*'Fane 12. Nøgletal'!C19</f>
        <v>118175.3583662951</v>
      </c>
      <c r="H12" s="14" t="s">
        <v>3</v>
      </c>
      <c r="I12" s="1"/>
    </row>
    <row r="13" spans="1:9" x14ac:dyDescent="0.45">
      <c r="A13" s="1"/>
      <c r="B13" s="45"/>
      <c r="C13" s="46"/>
      <c r="D13" s="46"/>
      <c r="E13" s="46"/>
      <c r="F13" s="46"/>
      <c r="G13" s="46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5" t="s">
        <v>77</v>
      </c>
      <c r="C15" s="96"/>
      <c r="D15" s="96"/>
      <c r="E15" s="96"/>
      <c r="F15" s="96"/>
      <c r="G15" s="96"/>
      <c r="H15" s="97"/>
      <c r="I15" s="1"/>
    </row>
    <row r="16" spans="1:9" x14ac:dyDescent="0.45">
      <c r="A16" s="1"/>
      <c r="B16" s="98" t="s">
        <v>78</v>
      </c>
      <c r="C16" s="99"/>
      <c r="D16" s="99"/>
      <c r="E16" s="99"/>
      <c r="F16" s="100"/>
      <c r="G16" s="24">
        <f>(G10+G11-G12)*(1+'Fane 12. Nøgletal'!C11)</f>
        <v>13085599.11793286</v>
      </c>
      <c r="H16" s="14" t="s">
        <v>3</v>
      </c>
      <c r="I16" s="1"/>
    </row>
    <row r="17" spans="1:9" x14ac:dyDescent="0.45">
      <c r="A17" s="1"/>
      <c r="B17" s="98" t="s">
        <v>149</v>
      </c>
      <c r="C17" s="99"/>
      <c r="D17" s="99"/>
      <c r="E17" s="99"/>
      <c r="F17" s="100"/>
      <c r="G17" s="24">
        <v>-69148.200792945747</v>
      </c>
      <c r="H17" s="14" t="s">
        <v>3</v>
      </c>
      <c r="I17" s="1"/>
    </row>
    <row r="18" spans="1:9" x14ac:dyDescent="0.45">
      <c r="A18" s="1"/>
      <c r="B18" s="101" t="s">
        <v>79</v>
      </c>
      <c r="C18" s="102"/>
      <c r="D18" s="102"/>
      <c r="E18" s="102"/>
      <c r="F18" s="103"/>
      <c r="G18" s="24">
        <v>150503.97171021733</v>
      </c>
      <c r="H18" s="14" t="s">
        <v>3</v>
      </c>
      <c r="I18" s="1"/>
    </row>
    <row r="19" spans="1:9" x14ac:dyDescent="0.45">
      <c r="A19" s="1"/>
      <c r="B19" s="98" t="s">
        <v>80</v>
      </c>
      <c r="C19" s="99"/>
      <c r="D19" s="99"/>
      <c r="E19" s="99"/>
      <c r="F19" s="100"/>
      <c r="G19" s="24">
        <f>SUM(G16:G18)*'Fane 12. Nøgletal'!C20</f>
        <v>114552.50753299614</v>
      </c>
      <c r="H19" s="14" t="s">
        <v>3</v>
      </c>
      <c r="I19" s="1"/>
    </row>
    <row r="20" spans="1:9" x14ac:dyDescent="0.45">
      <c r="A20" s="1"/>
      <c r="B20" s="45"/>
      <c r="C20" s="46"/>
      <c r="D20" s="46"/>
      <c r="E20" s="46"/>
      <c r="F20" s="46"/>
      <c r="G20" s="46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81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98" t="s">
        <v>82</v>
      </c>
      <c r="C23" s="99"/>
      <c r="D23" s="99"/>
      <c r="E23" s="99"/>
      <c r="F23" s="100"/>
      <c r="G23" s="24">
        <f>(SUM(G16:G18)-G19)*(1+'Fane 12. Nøgletal'!C11)</f>
        <v>13272987.981561393</v>
      </c>
      <c r="H23" s="14" t="s">
        <v>3</v>
      </c>
      <c r="I23" s="1"/>
    </row>
    <row r="24" spans="1:9" x14ac:dyDescent="0.45">
      <c r="A24" s="1"/>
      <c r="B24" s="101" t="s">
        <v>83</v>
      </c>
      <c r="C24" s="102"/>
      <c r="D24" s="102"/>
      <c r="E24" s="102"/>
      <c r="F24" s="103"/>
      <c r="G24" s="24">
        <v>1010163.6807377673</v>
      </c>
      <c r="H24" s="14" t="s">
        <v>3</v>
      </c>
      <c r="I24" s="1"/>
    </row>
    <row r="25" spans="1:9" x14ac:dyDescent="0.45">
      <c r="A25" s="1"/>
      <c r="B25" s="98" t="s">
        <v>84</v>
      </c>
      <c r="C25" s="99"/>
      <c r="D25" s="99"/>
      <c r="E25" s="99"/>
      <c r="F25" s="100"/>
      <c r="G25" s="24">
        <f>G23*'Fane 12. Nøgletal'!C20+G24*'Fane 12. Nøgletal'!C21</f>
        <v>144163.64397253669</v>
      </c>
      <c r="H25" s="14" t="s">
        <v>3</v>
      </c>
      <c r="I25" s="1"/>
    </row>
    <row r="26" spans="1:9" x14ac:dyDescent="0.45">
      <c r="A26" s="1"/>
      <c r="B26" s="45"/>
      <c r="C26" s="46"/>
      <c r="D26" s="46"/>
      <c r="E26" s="46"/>
      <c r="F26" s="46"/>
      <c r="G26" s="46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220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98" t="s">
        <v>85</v>
      </c>
      <c r="C29" s="99"/>
      <c r="D29" s="99"/>
      <c r="E29" s="99"/>
      <c r="F29" s="100"/>
      <c r="G29" s="24">
        <f>(G23+G24-G25)*(1+'Fane 12. Nøgletal'!C13)</f>
        <v>14311483.672150208</v>
      </c>
      <c r="H29" s="14" t="s">
        <v>3</v>
      </c>
      <c r="I29" s="1"/>
    </row>
    <row r="30" spans="1:9" x14ac:dyDescent="0.45">
      <c r="A30" s="1"/>
      <c r="B30" s="98" t="s">
        <v>192</v>
      </c>
      <c r="C30" s="99"/>
      <c r="D30" s="99"/>
      <c r="E30" s="99"/>
      <c r="F30" s="100"/>
      <c r="G30" s="24">
        <f>SUM('Fane 2.1. Økonomisk ramme 2021'!C11,'Fane 2.1. Økonomisk ramme 2021'!C13,'Fane 2.1. Økonomisk ramme 2021'!C15)*(1+'Fane 12. Nøgletal'!C13)</f>
        <v>93099.179776525445</v>
      </c>
      <c r="H30" s="14" t="s">
        <v>3</v>
      </c>
      <c r="I30" s="1"/>
    </row>
    <row r="31" spans="1:9" x14ac:dyDescent="0.45">
      <c r="A31" s="1"/>
      <c r="B31" s="98" t="s">
        <v>221</v>
      </c>
      <c r="C31" s="99"/>
      <c r="D31" s="99"/>
      <c r="E31" s="99"/>
      <c r="F31" s="100"/>
      <c r="G31" s="24">
        <f>(G29+G30)*'Fane 12. Nøgletal'!C22</f>
        <v>396126.02842798515</v>
      </c>
      <c r="H31" s="14" t="s">
        <v>3</v>
      </c>
      <c r="I31" s="1"/>
    </row>
    <row r="32" spans="1:9" x14ac:dyDescent="0.45">
      <c r="A32" s="1"/>
      <c r="B32" s="45"/>
      <c r="C32" s="46"/>
      <c r="D32" s="46"/>
      <c r="E32" s="46"/>
      <c r="F32" s="46"/>
      <c r="G32" s="46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225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98" t="s">
        <v>88</v>
      </c>
      <c r="C35" s="99"/>
      <c r="D35" s="99"/>
      <c r="E35" s="99"/>
      <c r="F35" s="100"/>
      <c r="G35" s="24">
        <f>(G29+G30-G31)*(1+'Fane 12. Nøgletal'!C13)</f>
        <v>14179359.996745434</v>
      </c>
      <c r="H35" s="14" t="s">
        <v>3</v>
      </c>
      <c r="I35" s="1"/>
    </row>
    <row r="36" spans="1:9" x14ac:dyDescent="0.45">
      <c r="A36" s="1"/>
      <c r="B36" s="98" t="s">
        <v>107</v>
      </c>
      <c r="C36" s="99"/>
      <c r="D36" s="99"/>
      <c r="E36" s="99"/>
      <c r="F36" s="100"/>
      <c r="G36" s="24">
        <f>-'Fane 11. Bortfald'!E19*(1+'Fane 12. Nøgletal'!C13)</f>
        <v>0</v>
      </c>
      <c r="H36" s="14" t="s">
        <v>3</v>
      </c>
      <c r="I36" s="1"/>
    </row>
    <row r="37" spans="1:9" x14ac:dyDescent="0.45">
      <c r="A37" s="1"/>
      <c r="B37" s="98" t="s">
        <v>226</v>
      </c>
      <c r="C37" s="99"/>
      <c r="D37" s="99"/>
      <c r="E37" s="99"/>
      <c r="F37" s="100"/>
      <c r="G37" s="24">
        <f>(G35+G36)*'Fane 12. Nøgletal'!C22</f>
        <v>389932.3999104994</v>
      </c>
      <c r="H37" s="14" t="s">
        <v>3</v>
      </c>
      <c r="I37" s="1"/>
    </row>
    <row r="38" spans="1:9" x14ac:dyDescent="0.45">
      <c r="A38" s="1"/>
      <c r="B38" s="45"/>
      <c r="C38" s="46"/>
      <c r="D38" s="46"/>
      <c r="E38" s="46"/>
      <c r="F38" s="46"/>
      <c r="G38" s="46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92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98" t="s">
        <v>87</v>
      </c>
      <c r="C41" s="99"/>
      <c r="D41" s="99"/>
      <c r="E41" s="99"/>
      <c r="F41" s="100"/>
      <c r="G41" s="24">
        <f>(G35+G36-G37)*(1+'Fane 12. Nøgletal'!C13)</f>
        <v>13957658.61351632</v>
      </c>
      <c r="H41" s="14" t="s">
        <v>3</v>
      </c>
      <c r="I41" s="1"/>
    </row>
    <row r="42" spans="1:9" x14ac:dyDescent="0.45">
      <c r="A42" s="1"/>
      <c r="B42" s="98" t="s">
        <v>108</v>
      </c>
      <c r="C42" s="99"/>
      <c r="D42" s="99"/>
      <c r="E42" s="99"/>
      <c r="F42" s="100"/>
      <c r="G42" s="24">
        <f>-'Fane 11. Bortfald'!E26*(1+'Fane 12. Nøgletal'!C13)</f>
        <v>0</v>
      </c>
      <c r="H42" s="14" t="s">
        <v>3</v>
      </c>
      <c r="I42" s="1"/>
    </row>
    <row r="43" spans="1:9" x14ac:dyDescent="0.45">
      <c r="A43" s="1"/>
      <c r="B43" s="98" t="s">
        <v>86</v>
      </c>
      <c r="C43" s="99"/>
      <c r="D43" s="99"/>
      <c r="E43" s="99"/>
      <c r="F43" s="100"/>
      <c r="G43" s="24">
        <f>(G41+G42)*'Fane 12. Nøgletal'!C22</f>
        <v>383835.61187169881</v>
      </c>
      <c r="H43" s="14" t="s">
        <v>3</v>
      </c>
      <c r="I43" s="1"/>
    </row>
    <row r="44" spans="1:9" x14ac:dyDescent="0.45">
      <c r="A44" s="1"/>
      <c r="B44" s="45"/>
      <c r="C44" s="46"/>
      <c r="D44" s="46"/>
      <c r="E44" s="46"/>
      <c r="F44" s="46"/>
      <c r="G44" s="46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5" t="s">
        <v>193</v>
      </c>
      <c r="C46" s="96"/>
      <c r="D46" s="96"/>
      <c r="E46" s="96"/>
      <c r="F46" s="96"/>
      <c r="G46" s="96"/>
      <c r="H46" s="97"/>
      <c r="I46" s="1"/>
    </row>
    <row r="47" spans="1:9" x14ac:dyDescent="0.45">
      <c r="A47" s="1"/>
      <c r="B47" s="98" t="s">
        <v>194</v>
      </c>
      <c r="C47" s="99"/>
      <c r="D47" s="99"/>
      <c r="E47" s="99"/>
      <c r="F47" s="100"/>
      <c r="G47" s="24">
        <f>(G41+G42-G43)*(1+'Fane 12. Nøgletal'!C13)</f>
        <v>13739423.642264685</v>
      </c>
      <c r="H47" s="14" t="s">
        <v>3</v>
      </c>
      <c r="I47" s="1"/>
    </row>
    <row r="48" spans="1:9" x14ac:dyDescent="0.45">
      <c r="A48" s="1"/>
      <c r="B48" s="98" t="s">
        <v>195</v>
      </c>
      <c r="C48" s="99"/>
      <c r="D48" s="99"/>
      <c r="E48" s="99"/>
      <c r="F48" s="100"/>
      <c r="G48" s="24">
        <f>-'Fane 11. Bortfald'!E33*(1+'Fane 12. Nøgletal'!C13)</f>
        <v>0</v>
      </c>
      <c r="H48" s="14" t="s">
        <v>3</v>
      </c>
      <c r="I48" s="1"/>
    </row>
    <row r="49" spans="1:9" x14ac:dyDescent="0.45">
      <c r="A49" s="1"/>
      <c r="B49" s="98" t="s">
        <v>196</v>
      </c>
      <c r="C49" s="99"/>
      <c r="D49" s="99"/>
      <c r="E49" s="99"/>
      <c r="F49" s="100"/>
      <c r="G49" s="24">
        <f>(G47+G48)*'Fane 12. Nøgletal'!C22</f>
        <v>377834.15016227885</v>
      </c>
      <c r="H49" s="14" t="s">
        <v>3</v>
      </c>
      <c r="I49" s="1"/>
    </row>
    <row r="50" spans="1:9" x14ac:dyDescent="0.45">
      <c r="A50" s="1"/>
      <c r="B50" s="45"/>
      <c r="C50" s="46"/>
      <c r="D50" s="46"/>
      <c r="E50" s="46"/>
      <c r="F50" s="46"/>
      <c r="G50" s="46"/>
      <c r="H50" s="20"/>
      <c r="I50" s="1"/>
    </row>
  </sheetData>
  <sheetProtection algorithmName="SHA-512" hashValue="GVD6np572eFqb5wpPFns+WrVnA+9bWkqpgVbeMkWpgIUm3jjruTeKqYjhsUB4znrPPDuSYGsfi1pixxAiGHDbg==" saltValue="1o3JsTsBMKp5HOz7o5/HQA==" spinCount="100000" sheet="1" objects="1" scenarios="1"/>
  <mergeCells count="33">
    <mergeCell ref="B28:H28"/>
    <mergeCell ref="B29:F29"/>
    <mergeCell ref="B31:F31"/>
    <mergeCell ref="B34:H34"/>
    <mergeCell ref="B22:H22"/>
    <mergeCell ref="B23:F23"/>
    <mergeCell ref="B24:F24"/>
    <mergeCell ref="B25:F25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101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9</v>
      </c>
      <c r="C8" s="96"/>
      <c r="D8" s="96"/>
      <c r="E8" s="96"/>
      <c r="F8" s="96"/>
      <c r="G8" s="96"/>
      <c r="H8" s="97"/>
      <c r="I8" s="1"/>
    </row>
    <row r="9" spans="1:9" x14ac:dyDescent="0.45">
      <c r="A9" s="1"/>
      <c r="B9" s="98" t="s">
        <v>124</v>
      </c>
      <c r="C9" s="99"/>
      <c r="D9" s="99"/>
      <c r="E9" s="99"/>
      <c r="F9" s="100"/>
      <c r="G9" s="23">
        <v>1.4565360422358694E-2</v>
      </c>
      <c r="H9" s="14"/>
      <c r="I9" s="1"/>
    </row>
    <row r="10" spans="1:9" x14ac:dyDescent="0.45">
      <c r="A10" s="1"/>
      <c r="B10" s="98" t="s">
        <v>181</v>
      </c>
      <c r="C10" s="99"/>
      <c r="D10" s="99"/>
      <c r="E10" s="99"/>
      <c r="F10" s="100"/>
      <c r="G10" s="23">
        <v>0.02</v>
      </c>
      <c r="H10" s="14"/>
      <c r="I10" s="1"/>
    </row>
    <row r="11" spans="1:9" x14ac:dyDescent="0.45">
      <c r="A11" s="1"/>
      <c r="B11" s="45"/>
      <c r="C11" s="46"/>
      <c r="D11" s="46"/>
      <c r="E11" s="46"/>
      <c r="F11" s="46"/>
      <c r="G11" s="46"/>
      <c r="H11" s="20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18"/>
      <c r="B13" s="105" t="s">
        <v>227</v>
      </c>
      <c r="C13" s="105"/>
      <c r="D13" s="105"/>
      <c r="E13" s="105"/>
      <c r="F13" s="105"/>
      <c r="G13" s="105"/>
      <c r="H13" s="105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9PdpMwEdbPx+rpJc3yaBhaNB5Dsl/aFPOABYRIvC6QmFHBRV6tsY9ThFwbHbupZCDYfv/P2khMBlt0ToySdqQ==" saltValue="lgk7M2YhTR+HbkStSJ899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2020-10-27T08:37:15Z</dcterms:modified>
</cp:coreProperties>
</file>