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yhuse Vandværk a.m.b.a. (V14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1" i="3"/>
  <c r="E20" i="4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<sst xmlns="http://schemas.openxmlformats.org/spreadsheetml/2006/main" count="403" uniqueCount="153">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</sst>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rOH9rmEUAkNC/aRywfjDYXjYcVFRJRWcMPjxahFg3bQQkDOsoYulohHIQ7VBgZNP+72ODmEEu4KqE02jiBwhg==" saltValue="iYeo1XejQKbySuMfCViVq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cvOuxKe5Bp5GBGOgwdv6s1b9RSkyHcZAa7G/PykYFxCtUUqJMekG/qAlb567CYBnLlHXL1rGII5d6RHetDvB9Q==" saltValue="Ev6MKR8oezUMxT0glHgE7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xkUDtxfE5G3CdrNY2eHaDXMvfQX6vYRLL8ULtYl8DYIr3a4fcQvYKWREsUK46PBVjzzCEJP132p1HITbIWyUFA==" saltValue="mSVZwCn5KzMAMcB+RIPLE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tBB8QKev/6SCay6tuLk2j272T/wIRVcWqv/NcD4frHqgB5+lZXbntjz6ArCXRofUjbqcn+k9AE7eJ4/UlIsujw==" saltValue="MXOZb/a7hmGnbXxg2Utnk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VUxDW5Yz63tc18V0u5LKaQW1MfBRlKeo3/ga0Wsz/SRxktJv+O+GaT17K5BnxuYikD7yo9rGv+2mfxn8qxf//w==" saltValue="ug4LfVE2nkeMj7+r6Jsmh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yTZV8OlCdMOGlurGlz3DpBy5o6Pp05CcwGP3f/CQruQrQ+gUNYsXagkB9ezptJHBmZ4LAtLrCpGlDgXgaSRhVA==" saltValue="xDkqgG/Kz1BMG3nVd2EYv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46" t="s">
        <v>24</v>
      </c>
      <c r="C9" s="46"/>
      <c r="D9" s="46"/>
      <c r="E9" s="7">
        <f>'Fane 3. Omkostninger i ØR2021'!E16</f>
        <v>2490054.5028423364</v>
      </c>
      <c r="F9" s="46" t="s">
        <v>3</v>
      </c>
      <c r="G9" s="1"/>
    </row>
    <row r="10" spans="1:7" ht="17.100000000000001" customHeight="1" x14ac:dyDescent="0.45">
      <c r="A10" s="1"/>
      <c r="B10" s="33" t="s">
        <v>121</v>
      </c>
      <c r="C10" s="46"/>
      <c r="D10" s="46"/>
      <c r="E10" s="7">
        <f>'Fane 3. Omkostninger i ØR2021'!E13*(1-'Fane 10. Nøgletal'!C19)*(1+'Fane 10. Nøgletal'!C13)</f>
        <v>0</v>
      </c>
      <c r="F10" s="46" t="s">
        <v>3</v>
      </c>
      <c r="G10" s="1"/>
    </row>
    <row r="11" spans="1:7" ht="17.100000000000001" customHeight="1" x14ac:dyDescent="0.45">
      <c r="A11" s="1"/>
      <c r="B11" s="29" t="s">
        <v>60</v>
      </c>
      <c r="C11" s="46"/>
      <c r="D11" s="46"/>
      <c r="E11" s="7">
        <f>'Fane 7.1. Varige tillæg'!C12+'Fane 7.1. Varige tillæg'!E12</f>
        <v>0</v>
      </c>
      <c r="F11" s="46" t="s">
        <v>3</v>
      </c>
      <c r="G11" s="1"/>
    </row>
    <row r="12" spans="1:7" ht="17.100000000000001" customHeight="1" x14ac:dyDescent="0.4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4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45">
      <c r="A14" s="1"/>
      <c r="B14" s="29" t="s">
        <v>18</v>
      </c>
      <c r="C14" s="46"/>
      <c r="D14" s="46"/>
      <c r="E14" s="8">
        <f>E9*'Fane 10. Nøgletal'!C13+SUM(E11:E13)*'Fane 10. Nøgletal'!C14</f>
        <v>30378.664934676508</v>
      </c>
      <c r="F14" s="46" t="s">
        <v>3</v>
      </c>
      <c r="G14" s="1"/>
    </row>
    <row r="15" spans="1:7" ht="17.100000000000001" customHeight="1" x14ac:dyDescent="0.45">
      <c r="A15" s="1"/>
      <c r="B15" s="29" t="s">
        <v>54</v>
      </c>
      <c r="C15" s="46"/>
      <c r="D15" s="46"/>
      <c r="E15" s="8">
        <f>-SUM(E9,E11:E14)*'Fane 10. Nøgletal'!C19</f>
        <v>-42847.363852209222</v>
      </c>
      <c r="F15" s="46" t="s">
        <v>3</v>
      </c>
      <c r="G15" s="1"/>
    </row>
    <row r="16" spans="1:7" ht="15" customHeight="1" x14ac:dyDescent="0.45">
      <c r="A16" s="1"/>
      <c r="B16" s="50" t="s">
        <v>20</v>
      </c>
      <c r="C16" s="39"/>
      <c r="D16" s="39"/>
      <c r="E16" s="9">
        <f>SUM(E9,E11:E15)</f>
        <v>2477585.8039248036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1475374.4823096502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4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4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125560.25194470611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148</v>
      </c>
      <c r="C26" s="40"/>
      <c r="D26" s="40"/>
      <c r="E26" s="40"/>
      <c r="F26" s="40"/>
      <c r="G26" s="1"/>
    </row>
    <row r="27" spans="1:7" x14ac:dyDescent="0.45">
      <c r="A27" s="1"/>
      <c r="B27" s="41" t="s">
        <v>149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4078520.5381791601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oawOo6hb9WRREXrHmiGU5A/1SCbAH+aPm9H/pE7oM4yBGVbMMOGFBg4VtCtlKy0j1uU/FZGqjd2jjhlLyXfYKw==" saltValue="bpokNQwAiCd/qJwKIaSg4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46" t="s">
        <v>66</v>
      </c>
      <c r="C9" s="46"/>
      <c r="D9" s="46"/>
      <c r="E9" s="7">
        <f>'Fane 2.1. Økonomisk ramme 2022'!E16</f>
        <v>2477585.8039248036</v>
      </c>
      <c r="F9" s="46" t="s">
        <v>3</v>
      </c>
      <c r="G9" s="1"/>
    </row>
    <row r="10" spans="1:7" ht="15" customHeight="1" x14ac:dyDescent="0.45">
      <c r="A10" s="1"/>
      <c r="B10" s="29" t="s">
        <v>62</v>
      </c>
      <c r="C10" s="46"/>
      <c r="D10" s="46"/>
      <c r="E10" s="7">
        <f>-('Fane 9. Bortfald'!C18+'Fane 9. Bortfald'!E18)</f>
        <v>0</v>
      </c>
      <c r="F10" s="46" t="s">
        <v>3</v>
      </c>
      <c r="G10" s="1"/>
    </row>
    <row r="11" spans="1:7" ht="15" customHeight="1" x14ac:dyDescent="0.45">
      <c r="A11" s="1"/>
      <c r="B11" s="38" t="s">
        <v>18</v>
      </c>
      <c r="C11" s="46"/>
      <c r="D11" s="46"/>
      <c r="E11" s="8">
        <f>SUM(E9:E10)*'Fane 10. Nøgletal'!C14</f>
        <v>8176.0331529518517</v>
      </c>
      <c r="F11" s="46" t="s">
        <v>3</v>
      </c>
      <c r="G11" s="1"/>
    </row>
    <row r="12" spans="1:7" ht="15" customHeight="1" x14ac:dyDescent="0.45">
      <c r="A12" s="1"/>
      <c r="B12" s="38" t="s">
        <v>54</v>
      </c>
      <c r="C12" s="46"/>
      <c r="D12" s="46"/>
      <c r="E12" s="8">
        <f>-SUM(E9:E11)*'Fane 10. Nøgletal'!C19</f>
        <v>-42257.951230321843</v>
      </c>
      <c r="F12" s="46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2443503.8858474335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1480243.2181012721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46"/>
      <c r="D17" s="46"/>
      <c r="E17" s="8">
        <f>'Fane 7.2. Engangstillæg'!C20</f>
        <v>0</v>
      </c>
      <c r="F17" s="46" t="s">
        <v>3</v>
      </c>
      <c r="G17" s="1"/>
    </row>
    <row r="18" spans="1:7" ht="15" customHeight="1" x14ac:dyDescent="0.45">
      <c r="A18" s="1"/>
      <c r="B18" s="29" t="s">
        <v>40</v>
      </c>
      <c r="C18" s="46"/>
      <c r="D18" s="46"/>
      <c r="E18" s="8">
        <f>'Fane 7.2. Engangstillæg'!E20</f>
        <v>0</v>
      </c>
      <c r="F18" s="46" t="s">
        <v>3</v>
      </c>
      <c r="G18" s="1"/>
    </row>
    <row r="19" spans="1:7" ht="15" customHeight="1" x14ac:dyDescent="0.45">
      <c r="A19" s="1"/>
      <c r="B19" s="50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150</v>
      </c>
      <c r="C21" s="41"/>
      <c r="D21" s="41"/>
      <c r="E21" s="9">
        <f>'Fane 5. Kontrol af ØR2020'!E35</f>
        <v>-25090.578626173781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3898656.5253225323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QwA8Reh8miGmyO7USuNjZ3ypk93mcU2wuGjSQ2RWYdJquM51ZEMGovPlUVwnBGIVib2ylImhd/yrFRg2AkdF1w==" saltValue="pExmGCEjRUp5wHkZuixLF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67</v>
      </c>
      <c r="C8" s="46"/>
      <c r="D8" s="46"/>
      <c r="E8" s="7">
        <f>'Fane 2.2. Økonomisk ramme 2023'!E13</f>
        <v>2443503.8858474335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8063.56282329653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-41676.646627402413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2409890.8020433276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1485128.0207210064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-25090.578626173781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3869928.2441381607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OQ613OiO9JD7XZk1fLKNJ34lMZSXPFKkQRAT0ewK82aI6zd7lF2Qq4jPVMM+FMc+GUxt6GXaqq55ItCuoyQQaw==" saltValue="URBI9r70AazP5Rjloxpot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103</v>
      </c>
      <c r="C8" s="46"/>
      <c r="D8" s="46"/>
      <c r="E8" s="7">
        <f>'Fane 2.3. Økonomisk ramme 2024'!E12</f>
        <v>2409890.8020433276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7952.6396467429813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-41103.338508731205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2376740.1031813393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1490028.9431893858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-25090.578626173781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3841678.4677445516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zLmvqmhOrzDXWO+HxnR6kCM63wNAbDwWveQVFnWPqxvd4JnWGdq3VXgRIC9IuCq4Kwc3NqvxiLnx+kWlJvBvGg==" saltValue="8y0N+ZlCvCbC8hT9HXA2E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2510995.1634325539</v>
      </c>
      <c r="F9" s="46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-10048.975695489084</v>
      </c>
      <c r="F10" s="46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1639.7639999999999</v>
      </c>
      <c r="F11" s="46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46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46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30531.548611192193</v>
      </c>
      <c r="F14" s="46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-43062.997505920372</v>
      </c>
      <c r="F15" s="46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2490054.5028423364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1612828.39114656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7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7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125560.25194470611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4228443.145933602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SbHICWk+Cgy7kD6gB9wlVTcqAsSGg1doYiw/yLT6UhaarpD9ewlgTQ7po8magF5g1X5VXspsSVLPHBiz3aCAAQ==" saltValue="b9Iv5UJ+ck6eqgOV3JPl+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131</v>
      </c>
      <c r="C10" s="8">
        <v>1440257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5242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20186</v>
      </c>
      <c r="D12" s="12" t="s">
        <v>3</v>
      </c>
      <c r="E12" s="1"/>
      <c r="F12" s="1"/>
    </row>
    <row r="13" spans="1:6" x14ac:dyDescent="0.45">
      <c r="A13" s="1"/>
      <c r="B13" s="56" t="s">
        <v>108</v>
      </c>
      <c r="C13" s="10">
        <f>SUM(C10:C12)</f>
        <v>1465685</v>
      </c>
      <c r="D13" s="11" t="s">
        <v>3</v>
      </c>
      <c r="E13" s="1"/>
      <c r="F13" s="1"/>
    </row>
    <row r="14" spans="1:6" x14ac:dyDescent="0.45">
      <c r="A14" s="1"/>
      <c r="B14" s="56" t="s">
        <v>109</v>
      </c>
      <c r="C14" s="10">
        <f>C13*(1+'Fane 10. Nøgletal'!C14)^2</f>
        <v>1475374.4823096502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2ZcCbzfMmqVHcCTrFcGVKyGTEC2vi8zYTrOySmBKovUsEmaB6lnGuiujOw0WG5AAByEDuugnA6NV5Lc6QGpsnw==" saltValue="EAD8ISBtqIKp42QVSxoZB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152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45"/>
      <c r="C5" s="45"/>
      <c r="D5" s="45"/>
      <c r="E5" s="45"/>
      <c r="F5" s="45"/>
      <c r="G5" s="1"/>
    </row>
    <row r="6" spans="1:7" ht="15" customHeight="1" x14ac:dyDescent="0.45">
      <c r="A6" s="1"/>
      <c r="B6" s="45"/>
      <c r="C6" s="45"/>
      <c r="D6" s="45"/>
      <c r="E6" s="45"/>
      <c r="F6" s="45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8" t="s">
        <v>136</v>
      </c>
      <c r="C9" s="99"/>
      <c r="D9" s="100"/>
      <c r="E9" s="8">
        <v>261654.74700000044</v>
      </c>
      <c r="F9" s="12" t="s">
        <v>3</v>
      </c>
      <c r="G9" s="1"/>
    </row>
    <row r="10" spans="1:7" x14ac:dyDescent="0.45">
      <c r="A10" s="1"/>
      <c r="B10" s="98" t="s">
        <v>137</v>
      </c>
      <c r="C10" s="99"/>
      <c r="D10" s="100"/>
      <c r="E10" s="8">
        <v>-189802.7881468269</v>
      </c>
      <c r="F10" s="12" t="s">
        <v>3</v>
      </c>
      <c r="G10" s="1"/>
    </row>
    <row r="11" spans="1:7" x14ac:dyDescent="0.45">
      <c r="A11" s="1"/>
      <c r="B11" s="98" t="s">
        <v>138</v>
      </c>
      <c r="C11" s="99"/>
      <c r="D11" s="100"/>
      <c r="E11" s="8">
        <v>-63404.710899872705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101" t="s">
        <v>139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8" t="s">
        <v>141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142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101" t="s">
        <v>143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1" t="s">
        <v>123</v>
      </c>
      <c r="C22" s="52"/>
      <c r="D22" s="53"/>
      <c r="E22" s="8">
        <v>3849361.437542004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3958171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-108809.56245799595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3" t="s">
        <v>145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-100362.31450469512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147</v>
      </c>
      <c r="C35" s="94"/>
      <c r="D35" s="94"/>
      <c r="E35" s="9">
        <f>E33/E34</f>
        <v>-25090.578626173781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BXuxOARAcx+9oNoWU2Aw/YJeiRGtrk6wIGiwWw7kJXAeyJustIXkvLme6rxwLAg0Xt93LE/WC/O7ZNseN/Jnw==" saltValue="15pmMYKiifYFI19oNQ0f7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UIGkKkcfQ9RB1+71uY/HxZnvZ3e1KERHseF5mxoQa77J/a3UuSAuPQhFSGnqvs0dbXzF8dMPJ5AM3tFHRGkFQ==" saltValue="4ulrD7pvKcwDlokixXaFZ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2021-08-20T08:39:37Z</dcterms:modified>
</cp:coreProperties>
</file>