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rønderslev Vand AS (V03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<sst xmlns="http://schemas.openxmlformats.org/spreadsheetml/2006/main" count="510" uniqueCount="254">
  <si>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</si>
  <si>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</si>
  <si>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</si>
  <si>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</si>
  <si>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</si>
  <si>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</si>
  <si>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</si>
  <si>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</si>
  <si>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</si>
  <si>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</si>
  <si>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</si>
  <si>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</si>
  <si>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</si>
  <si>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</si>
  <si>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</si>
  <si>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</si>
  <si>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</si>
  <si>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</si>
  <si>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</si>
  <si>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</si>
  <si>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</si>
  <si>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</si>
  <si>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</si>
  <si>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</si>
  <si>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</si>
  <si>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</si>
  <si>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</si>
  <si>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</si>
  <si>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</si>
  <si>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</si>
  <si>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</si>
  <si>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</si>
  <si>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</si>
  <si>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</si>
  <si>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</si>
  <si>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</si>
  <si>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</si>
  <si>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</si>
  <si>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</si>
  <si>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</si>
  <si>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</si>
  <si>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</si>
  <si>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</si>
  <si>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</si>
  <si>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</si>
  <si>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</si>
  <si>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</si>
  <si>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</si>
  <si>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</si>
  <si>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</si>
  <si>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</si>
  <si>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</si>
  <si>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</si>
  <si>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</si>
  <si>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</si>
  <si>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</si>
  <si>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</si>
  <si>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</si>
  <si>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</si>
  <si>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</si>
  <si>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</si>
  <si>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</si>
  <si>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</si>
  <si>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</si>
  <si>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</si>
  <si>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</si>
  <si>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</si>
  <si>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</si>
  <si>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</si>
  <si>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</si>
  <si>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</si>
  <si>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</si>
  <si>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</si>
  <si>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</si>
  <si>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</si>
  <si>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</si>
  <si>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</si>
  <si>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</si>
  <si>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</si>
  <si>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</si>
  <si>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</si>
  <si>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</si>
  <si>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</si>
  <si>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</si>
  <si>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</si>
  <si>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</si>
  <si>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</si>
  <si>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</si>
  <si>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</si>
  <si>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</si>
  <si>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</si>
  <si>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</si>
  <si>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</si>
  <si>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</si>
  <si>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</si>
  <si>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</si>
  <si>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</si>
  <si>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</si>
  <si>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</si>
  <si>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</si>
  <si>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</si>
  <si>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</si>
  <si>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</si>
  <si>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</si>
  <si>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</si>
  <si>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</si>
  <si>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</si>
  <si>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</si>
  <si>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</si>
  <si>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</si>
  <si>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</si>
  <si>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</si>
  <si>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</si>
  <si>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</si>
  <si>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</si>
  <si>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</si>
  <si>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</si>
  <si>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</si>
  <si>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</si>
  <si>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</si>
  <si>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</si>
  <si>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</si>
  <si>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</si>
  <si>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</si>
  <si>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</si>
  <si>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</si>
  <si>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</si>
  <si>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</si>
  <si>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</si>
  <si>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</si>
  <si>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</si>
  <si>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</si>
  <si>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</si>
  <si>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</si>
  <si>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</si>
  <si>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</si>
  <si>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</si>
  <si>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</si>
  <si>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</si>
  <si>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</si>
  <si>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</si>
  <si>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</si>
  <si>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</si>
  <si>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</si>
  <si>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</si>
  <si>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</si>
  <si>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</si>
  <si>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</si>
  <si>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</si>
  <si>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</si>
  <si>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</si>
  <si>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</si>
  <si>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</si>
  <si>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</si>
  <si>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</si>
  <si>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</si>
  <si>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</si>
  <si>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</si>
  <si>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</si>
  <si>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</si>
  <si>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</si>
  <si>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</si>
  <si>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</si>
  <si>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</si>
  <si>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</si>
  <si>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</si>
  <si>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</si>
  <si>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</si>
  <si>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</si>
  <si>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</si>
  <si>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</si>
  <si>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</si>
  <si>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</si>
  <si>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</si>
  <si>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</si>
  <si>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</si>
  <si>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</si>
  <si>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</si>
  <si>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</si>
  <si>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</si>
  <si>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</si>
  <si>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</si>
  <si>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</si>
  <si>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</si>
  <si>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</si>
  <si>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</si>
  <si>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</si>
  <si>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</si>
  <si>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</si>
  <si>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</si>
  <si>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</si>
  <si>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</si>
  <si>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</si>
  <si>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</si>
  <si>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</si>
  <si>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</si>
  <si>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</si>
  <si>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</si>
  <si>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</si>
  <si>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</si>
  <si>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</si>
  <si>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</si>
  <si>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</si>
  <si>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</si>
  <si>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</si>
  <si>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</si>
  <si>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</si>
  <si>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</si>
  <si>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</si>
  <si>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</si>
  <si>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</si>
  <si>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</si>
  <si>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</si>
  <si>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</si>
  <si>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</si>
  <si>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</si>
  <si>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</si>
  <si>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</si>
  <si>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</si>
  <si>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</si>
  <si>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</si>
  <si>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</si>
  <si>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</si>
  <si>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</si>
  <si>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</si>
  <si>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</si>
  <si>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</si>
  <si>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</si>
  <si>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</si>
  <si>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</si>
  <si>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</si>
  <si>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</si>
  <si>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</si>
  <si>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</si>
  <si>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</si>
  <si>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</si>
  <si>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</si>
  <si>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</si>
  <si>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</si>
  <si>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</si>
  <si>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</si>
  <si>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</si>
  <si>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</si>
  <si>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</si>
  <si>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</si>
  <si>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</si>
  <si>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</si>
  <si>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</si>
  <si>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</si>
  <si>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</si>
  <si>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</si>
  <si>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Nødforbindelse og sektionering</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</si>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</sst>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3" t="s">
        <v>30</v>
      </c>
      <c r="C9" s="11" t="s">
        <v>212</v>
      </c>
      <c r="D9" s="11"/>
      <c r="E9" s="1"/>
      <c r="F9" s="1"/>
    </row>
    <row r="10" spans="1:6" x14ac:dyDescent="0.25">
      <c r="A10" s="1"/>
      <c r="B10" s="79" t="s">
        <v>231</v>
      </c>
      <c r="C10" s="9">
        <v>5903319</v>
      </c>
      <c r="D10" s="14" t="s">
        <v>3</v>
      </c>
      <c r="E10" s="1"/>
      <c r="F10" s="1"/>
    </row>
    <row r="11" spans="1:6" x14ac:dyDescent="0.25">
      <c r="A11" s="1"/>
      <c r="B11" s="79" t="s">
        <v>232</v>
      </c>
      <c r="C11" s="9">
        <v>74775</v>
      </c>
      <c r="D11" s="14" t="s">
        <v>3</v>
      </c>
      <c r="E11" s="1"/>
      <c r="F11" s="1"/>
    </row>
    <row r="12" spans="1:6" x14ac:dyDescent="0.25">
      <c r="A12" s="1"/>
      <c r="B12" s="79" t="s">
        <v>233</v>
      </c>
      <c r="C12" s="9">
        <v>882</v>
      </c>
      <c r="D12" s="14" t="s">
        <v>3</v>
      </c>
      <c r="E12" s="1"/>
      <c r="F12" s="1"/>
    </row>
    <row r="13" spans="1:6" x14ac:dyDescent="0.25">
      <c r="A13" s="1"/>
      <c r="B13" s="71" t="s">
        <v>182</v>
      </c>
      <c r="C13" s="12">
        <f>SUM(C10:C12)</f>
        <v>5978976</v>
      </c>
      <c r="D13" s="13" t="s">
        <v>3</v>
      </c>
      <c r="E13" s="1"/>
      <c r="F13" s="1"/>
    </row>
    <row r="14" spans="1:6" x14ac:dyDescent="0.25">
      <c r="A14" s="1"/>
      <c r="B14" s="71" t="s">
        <v>183</v>
      </c>
      <c r="C14" s="12">
        <f>C13*(1+'Fane 13. Nøgletal'!C15)^2</f>
        <v>6412256.6062233606</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999215</v>
      </c>
      <c r="F9" s="14" t="s">
        <v>3</v>
      </c>
      <c r="G9" s="1"/>
    </row>
    <row r="10" spans="1:7" x14ac:dyDescent="0.25">
      <c r="A10" s="1"/>
      <c r="B10" s="141" t="s">
        <v>234</v>
      </c>
      <c r="C10" s="142"/>
      <c r="D10" s="143"/>
      <c r="E10" s="9">
        <v>999215</v>
      </c>
      <c r="F10" s="54" t="s">
        <v>3</v>
      </c>
      <c r="G10" s="1"/>
    </row>
    <row r="11" spans="1:7" x14ac:dyDescent="0.25">
      <c r="A11" s="1"/>
      <c r="B11" s="126" t="s">
        <v>185</v>
      </c>
      <c r="C11" s="127"/>
      <c r="D11" s="128"/>
      <c r="E11" s="9">
        <v>1803395.080021441</v>
      </c>
      <c r="F11" s="14" t="s">
        <v>3</v>
      </c>
      <c r="G11" s="1"/>
    </row>
    <row r="12" spans="1:7" x14ac:dyDescent="0.25">
      <c r="A12" s="1"/>
      <c r="B12" s="71"/>
      <c r="C12" s="72"/>
      <c r="D12" s="72"/>
      <c r="E12" s="72"/>
      <c r="F12" s="19"/>
      <c r="G12" s="1"/>
    </row>
    <row r="13" spans="1:7" ht="64.900000000000006" customHeight="1" x14ac:dyDescent="0.25">
      <c r="A13" s="1"/>
      <c r="B13" s="102" t="s">
        <v>250</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235</v>
      </c>
      <c r="C16" s="127"/>
      <c r="D16" s="128"/>
      <c r="E16" s="9">
        <v>0</v>
      </c>
      <c r="F16" s="14" t="s">
        <v>3</v>
      </c>
      <c r="G16" s="1"/>
    </row>
    <row r="17" spans="1:7" x14ac:dyDescent="0.25">
      <c r="A17" s="1"/>
      <c r="B17" s="126" t="s">
        <v>236</v>
      </c>
      <c r="C17" s="127"/>
      <c r="D17" s="128"/>
      <c r="E17" s="9">
        <v>0</v>
      </c>
      <c r="F17" s="14" t="s">
        <v>3</v>
      </c>
      <c r="G17" s="1"/>
    </row>
    <row r="18" spans="1:7" x14ac:dyDescent="0.25">
      <c r="A18" s="1"/>
      <c r="B18" s="71"/>
      <c r="C18" s="72"/>
      <c r="D18" s="72"/>
      <c r="E18" s="72"/>
      <c r="F18" s="19"/>
      <c r="G18" s="1"/>
    </row>
    <row r="19" spans="1:7" ht="29.2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237</v>
      </c>
      <c r="C22" s="77"/>
      <c r="D22" s="78"/>
      <c r="E22" s="9">
        <v>17981528.024328962</v>
      </c>
      <c r="F22" s="14" t="s">
        <v>3</v>
      </c>
      <c r="G22" s="1"/>
    </row>
    <row r="23" spans="1:7" x14ac:dyDescent="0.25">
      <c r="A23" s="1"/>
      <c r="B23" s="76" t="s">
        <v>187</v>
      </c>
      <c r="C23" s="77"/>
      <c r="D23" s="78"/>
      <c r="E23" s="9">
        <v>17343338</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638190.02432896197</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19" t="s">
        <v>238</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GXrGZBYZd6QbL1s5Srljo2Ty2JYFJL2Q4vGzvXmUikMoqe+/1MEAwWBq5xnXSzMN0jRP0MOhmxWPaGhZqNHXNA==" saltValue="XvmoJPB2AS3saxVRDA+7y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242</v>
      </c>
      <c r="C10" s="148"/>
      <c r="D10" s="148"/>
      <c r="E10" s="148"/>
      <c r="F10" s="149"/>
      <c r="G10" s="56">
        <v>0</v>
      </c>
      <c r="H10" s="9" t="s">
        <v>3</v>
      </c>
      <c r="I10" s="1"/>
    </row>
    <row r="11" spans="1:9" x14ac:dyDescent="0.25">
      <c r="A11" s="1"/>
      <c r="B11" s="147" t="s">
        <v>243</v>
      </c>
      <c r="C11" s="148"/>
      <c r="D11" s="148"/>
      <c r="E11" s="148"/>
      <c r="F11" s="149"/>
      <c r="G11" s="56">
        <v>0</v>
      </c>
      <c r="H11" s="9" t="s">
        <v>3</v>
      </c>
      <c r="I11" s="1"/>
    </row>
    <row r="12" spans="1:9" x14ac:dyDescent="0.25">
      <c r="A12" s="1"/>
      <c r="B12" s="147" t="s">
        <v>244</v>
      </c>
      <c r="C12" s="148"/>
      <c r="D12" s="148"/>
      <c r="E12" s="148"/>
      <c r="F12" s="149"/>
      <c r="G12" s="9">
        <v>0</v>
      </c>
      <c r="H12" s="9" t="s">
        <v>3</v>
      </c>
      <c r="I12" s="1"/>
    </row>
    <row r="13" spans="1:9" x14ac:dyDescent="0.25">
      <c r="A13" s="1"/>
      <c r="B13" s="147" t="s">
        <v>245</v>
      </c>
      <c r="C13" s="148"/>
      <c r="D13" s="148"/>
      <c r="E13" s="148"/>
      <c r="F13" s="149"/>
      <c r="G13" s="9">
        <v>0</v>
      </c>
      <c r="H13" s="9" t="s">
        <v>3</v>
      </c>
      <c r="I13" s="1"/>
    </row>
    <row r="14" spans="1:9" x14ac:dyDescent="0.25">
      <c r="A14" s="1"/>
      <c r="B14" s="147" t="s">
        <v>246</v>
      </c>
      <c r="C14" s="148"/>
      <c r="D14" s="148"/>
      <c r="E14" s="148"/>
      <c r="F14" s="149"/>
      <c r="G14" s="9">
        <v>0</v>
      </c>
      <c r="H14" s="9" t="s">
        <v>3</v>
      </c>
      <c r="I14" s="1"/>
    </row>
    <row r="15" spans="1:9" x14ac:dyDescent="0.25">
      <c r="A15" s="1"/>
      <c r="B15" s="147" t="s">
        <v>247</v>
      </c>
      <c r="C15" s="148"/>
      <c r="D15" s="148"/>
      <c r="E15" s="148"/>
      <c r="F15" s="149"/>
      <c r="G15" s="9">
        <v>0</v>
      </c>
      <c r="H15" s="9" t="s">
        <v>3</v>
      </c>
      <c r="I15" s="1"/>
    </row>
    <row r="16" spans="1:9" x14ac:dyDescent="0.25">
      <c r="A16" s="1"/>
      <c r="B16" s="147" t="s">
        <v>248</v>
      </c>
      <c r="C16" s="148"/>
      <c r="D16" s="148"/>
      <c r="E16" s="148"/>
      <c r="F16" s="149"/>
      <c r="G16" s="9">
        <v>0</v>
      </c>
      <c r="H16" s="9" t="s">
        <v>3</v>
      </c>
      <c r="I16" s="1"/>
    </row>
    <row r="17" spans="1:9" x14ac:dyDescent="0.25">
      <c r="A17" s="1"/>
      <c r="B17" s="147" t="s">
        <v>249</v>
      </c>
      <c r="C17" s="148"/>
      <c r="D17" s="148"/>
      <c r="E17" s="148"/>
      <c r="F17" s="149"/>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EZ1GfYtyzkVBYaFbYbc8aT+2dd96UfEOYXUK8x60qfoc4bdZEcqTwP+VtobmtXKMjDJyNJvqGcZwYRMimJyO2w==" saltValue="cDDjem5RRqYGAtpb2YTlZ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2.28515625" style="2" customWidth="1"/>
    <col min="2" max="2" width="24.14062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285156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29" t="s">
        <v>230</v>
      </c>
      <c r="C10" s="29">
        <v>0</v>
      </c>
      <c r="D10" s="9"/>
      <c r="E10" s="14" t="s">
        <v>3</v>
      </c>
      <c r="F10" s="39">
        <f>IFERROR(D10/C10,0)</f>
        <v>0</v>
      </c>
      <c r="G10" s="14" t="s">
        <v>3</v>
      </c>
      <c r="H10" s="9"/>
      <c r="I10" s="14" t="s">
        <v>3</v>
      </c>
      <c r="J10" s="9"/>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L47" s="1"/>
    </row>
    <row r="48" spans="1:12" x14ac:dyDescent="0.25">
      <c r="A48" s="1"/>
      <c r="L48" s="1"/>
    </row>
    <row r="49" spans="1:12" x14ac:dyDescent="0.25">
      <c r="A49" s="1"/>
      <c r="L49" s="1"/>
    </row>
    <row r="50" spans="1:12" x14ac:dyDescent="0.25">
      <c r="A50" s="1"/>
      <c r="L50" s="1"/>
    </row>
    <row r="51" spans="1:12" x14ac:dyDescent="0.25">
      <c r="A51" s="1"/>
      <c r="L51" s="1"/>
    </row>
    <row r="52" spans="1:12" x14ac:dyDescent="0.25">
      <c r="A52" s="1"/>
      <c r="L52" s="1"/>
    </row>
  </sheetData>
  <sheetProtection algorithmName="SHA-512" hashValue="5h+R7iZron5pQ/rurDn3r8AwYU/4/MWtZGLAqPCYw/mUMPbm8cAgg6JzQUCKKmdXqwKUI7/o4HM0tIVTbmBghg==" saltValue="P+DIYGA7PtuXVWNj2BngG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96334</v>
      </c>
      <c r="D11" s="14" t="s">
        <v>3</v>
      </c>
      <c r="E11" s="9">
        <v>46861</v>
      </c>
      <c r="F11" s="14" t="s">
        <v>3</v>
      </c>
      <c r="G11" s="1"/>
    </row>
    <row r="12" spans="1:7" x14ac:dyDescent="0.25">
      <c r="A12" s="1"/>
      <c r="B12" s="26" t="s">
        <v>251</v>
      </c>
      <c r="C12" s="21">
        <v>7995</v>
      </c>
      <c r="D12" s="14" t="s">
        <v>3</v>
      </c>
      <c r="E12" s="9">
        <v>289143</v>
      </c>
      <c r="F12" s="14" t="s">
        <v>3</v>
      </c>
      <c r="G12" s="1"/>
    </row>
    <row r="13" spans="1:7" x14ac:dyDescent="0.25">
      <c r="A13" s="1"/>
      <c r="B13" s="71" t="s">
        <v>148</v>
      </c>
      <c r="C13" s="12">
        <f>SUM(C10:C12)</f>
        <v>104329</v>
      </c>
      <c r="D13" s="13" t="s">
        <v>3</v>
      </c>
      <c r="E13" s="12">
        <f>SUM(E10:E12)</f>
        <v>336004</v>
      </c>
      <c r="F13" s="13" t="s">
        <v>3</v>
      </c>
      <c r="G13" s="1"/>
    </row>
    <row r="14" spans="1:7" x14ac:dyDescent="0.25">
      <c r="A14" s="1"/>
      <c r="B14" s="71" t="s">
        <v>188</v>
      </c>
      <c r="C14" s="12">
        <f>C13*(1+'Fane 13. Nøgletal'!C15)</f>
        <v>108043.11240000001</v>
      </c>
      <c r="D14" s="13" t="s">
        <v>3</v>
      </c>
      <c r="E14" s="12">
        <f>E13*(1+'Fane 13. Nøgletal'!C15)</f>
        <v>347965.74240000005</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xr/D1MPj7qeGaocCyG/+0BW/L2lpHGrdWsvKRFdQVaH+hVuu8KbCIbaam+VaJrhA6PFlaUKUlxsoYdUywJDQg==" saltValue="tyTIR7cilhMylQ198/XBV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9" t="s">
        <v>15</v>
      </c>
      <c r="C10" s="69" t="s">
        <v>10</v>
      </c>
      <c r="D10" s="70"/>
      <c r="E10" s="69" t="s">
        <v>29</v>
      </c>
      <c r="F10" s="66"/>
      <c r="G10" s="1"/>
    </row>
    <row r="11" spans="1:7" x14ac:dyDescent="0.25">
      <c r="A11" s="1"/>
      <c r="B11" s="22" t="s">
        <v>253</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5" t="s">
        <v>113</v>
      </c>
      <c r="C9" s="111" t="s">
        <v>10</v>
      </c>
      <c r="D9" s="113"/>
      <c r="E9" s="111" t="s">
        <v>29</v>
      </c>
      <c r="F9" s="113"/>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 style="2" customWidth="1"/>
    <col min="2" max="2" width="36.28515625" style="2" customWidth="1"/>
    <col min="3" max="3" width="17" style="2" customWidth="1"/>
    <col min="4" max="4" width="3.28515625" style="2" customWidth="1"/>
    <col min="5" max="5" width="18.140625" style="2" customWidth="1"/>
    <col min="6" max="6" width="3.28515625" style="2" customWidth="1"/>
    <col min="7" max="7" width="1.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x14ac:dyDescent="0.25">
      <c r="A11" s="1"/>
      <c r="B11" s="65" t="s">
        <v>16</v>
      </c>
      <c r="C11" s="65" t="s">
        <v>10</v>
      </c>
      <c r="D11" s="66"/>
      <c r="E11" s="65" t="s">
        <v>29</v>
      </c>
      <c r="F11" s="66"/>
      <c r="G11" s="1"/>
    </row>
    <row r="12" spans="1:7" x14ac:dyDescent="0.25">
      <c r="A12" s="1"/>
      <c r="B12" s="22" t="s">
        <v>240</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2" t="s">
        <v>225</v>
      </c>
      <c r="C3" s="122"/>
      <c r="D3" s="1"/>
    </row>
    <row r="4" spans="1:4" ht="25.5" customHeight="1" x14ac:dyDescent="0.25">
      <c r="A4" s="1"/>
      <c r="B4" s="122"/>
      <c r="C4" s="12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19"/>
      <c r="C16" s="121"/>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1"/>
      <c r="D50" s="55"/>
    </row>
    <row r="51" spans="1:4" x14ac:dyDescent="0.25">
      <c r="A51" s="55"/>
      <c r="B51" s="55"/>
      <c r="C51" s="81"/>
      <c r="D51" s="55"/>
    </row>
    <row r="52" spans="1:4" x14ac:dyDescent="0.25">
      <c r="A52" s="55"/>
      <c r="B52" s="55"/>
      <c r="C52" s="81"/>
      <c r="D52" s="55"/>
    </row>
    <row r="53" spans="1:4" x14ac:dyDescent="0.25">
      <c r="A53" s="55"/>
      <c r="B53" s="55"/>
      <c r="C53" s="81"/>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11686990.758666186</v>
      </c>
      <c r="D8" s="8" t="s">
        <v>3</v>
      </c>
      <c r="E8" s="1"/>
    </row>
    <row r="9" spans="1:5" ht="17.25" customHeight="1" x14ac:dyDescent="0.25">
      <c r="A9" s="1"/>
      <c r="B9" s="23" t="s">
        <v>35</v>
      </c>
      <c r="C9" s="7">
        <f>'Fane 10.1. Varige tillæg'!C14</f>
        <v>108043.11240000001</v>
      </c>
      <c r="D9" s="8" t="s">
        <v>3</v>
      </c>
      <c r="E9" s="1"/>
    </row>
    <row r="10" spans="1:5" ht="17.25" customHeight="1" x14ac:dyDescent="0.25">
      <c r="A10" s="1"/>
      <c r="B10" s="23" t="s">
        <v>36</v>
      </c>
      <c r="C10" s="9">
        <f>'Fane 10.1. Varige tillæg'!E14</f>
        <v>347965.74240000005</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432290.78623939626</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-117213.86000246485</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12458076.539703118</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omk.'!C14</f>
        <v>6412256.6062233606</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18870333.145926479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PLKzYIVYoL5S70HFOJRWNMA4ng4sIECDubOSnk16Fj1Zhlz0u3kmFJ9cb9Us3fuPrJEZ9FohmpICxAWPxcuw==" saltValue="2wCDsDN9PHSoJZ4gVbijR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12458076.539703118</v>
      </c>
      <c r="D8" s="8" t="s">
        <v>3</v>
      </c>
      <c r="E8" s="1"/>
    </row>
    <row r="9" spans="1:5" ht="15" customHeight="1" x14ac:dyDescent="0.25">
      <c r="A9" s="1"/>
      <c r="B9" s="64" t="s">
        <v>17</v>
      </c>
      <c r="C9" s="9">
        <f>SUM(C8:C8)*'Fane 13. Nøgletal'!C15</f>
        <v>443507.52481343097</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-118958.93995018155</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12782625.124566367</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f>
        <v>6640532.9414049126</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19423158.065971278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P19d8lBBhhH3ryfsoBJOlLsuTJJjRobYz2DLiauJCaQgCrQBCIRjaf0OIQ4AC2dh1Auit0nE0IShsL5ZPxOOJA==" saltValue="Zo45nJ2LFpTUHuAshmZQ5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12782625.124566367</v>
      </c>
      <c r="D8" s="8" t="s">
        <v>3</v>
      </c>
      <c r="E8" s="1"/>
    </row>
    <row r="9" spans="1:5" ht="15" customHeight="1" x14ac:dyDescent="0.25">
      <c r="A9" s="1"/>
      <c r="B9" s="64" t="s">
        <v>17</v>
      </c>
      <c r="C9" s="9">
        <f>SUM(C8:C8)*'Fane 13. Nøgletal'!C15</f>
        <v>455061.45443456265</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-120730.00064815987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13116956.57835277</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Nøgletal'!C15)^2</f>
        <v>6876935.9141189279</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19993892.492471699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FiAwdWaUJCsBI6mpSK/XD5ZFnEu+ZlEDnb+rfM+k1fz8FF0OD6jnAv3YGmP9uQphIHCwMAyxzTz4BdP+FqADOQ==" saltValue="pLt7pdcCkr56IGWhDSFA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13116956.57835277</v>
      </c>
      <c r="D8" s="8" t="s">
        <v>3</v>
      </c>
      <c r="E8" s="1"/>
    </row>
    <row r="9" spans="1:5" ht="15" customHeight="1" x14ac:dyDescent="0.25">
      <c r="A9" s="1"/>
      <c r="B9" s="64" t="s">
        <v>17</v>
      </c>
      <c r="C9" s="9">
        <f>SUM(C8:C8)*'Fane 13. Nøgletal'!C15</f>
        <v>466963.65418935858</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-122527.42889780969</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13461392.80364432</v>
      </c>
      <c r="D13" s="11" t="s">
        <v>3</v>
      </c>
      <c r="E13" s="1"/>
    </row>
    <row r="14" spans="1:5" x14ac:dyDescent="0.25">
      <c r="A14" s="1"/>
      <c r="B14" s="71" t="s">
        <v>11</v>
      </c>
      <c r="C14" s="72"/>
      <c r="D14" s="19"/>
      <c r="E14" s="1"/>
    </row>
    <row r="15" spans="1:5" ht="15" customHeight="1" x14ac:dyDescent="0.25">
      <c r="A15" s="1"/>
      <c r="B15" s="65" t="s">
        <v>11</v>
      </c>
      <c r="C15" s="10">
        <f>'Fane 6. Ikke-påvirkelige omk.'!C14*(1+'Fane 13. Nøgletal'!C15)^3</f>
        <v>7121754.8326615626</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20583147.636305884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KkrY5UX9o4pw5CWUZP+zx9giR3TX7Wvmkas8KQyCU8ncbcBRce0yAAdYeTE8I1E572FWVwrYl8iABiWJ9gEYTg==" saltValue="xMrqUd5QNd8G2+tSTwR/7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23" t="s">
        <v>22</v>
      </c>
      <c r="C9" s="124"/>
      <c r="D9" s="125"/>
      <c r="E9" s="7">
        <v>11898362.177790746</v>
      </c>
      <c r="F9" s="8" t="s">
        <v>3</v>
      </c>
      <c r="G9" s="1"/>
    </row>
    <row r="10" spans="1:7" ht="15" customHeight="1" x14ac:dyDescent="0.25">
      <c r="A10" s="1"/>
      <c r="B10" s="105" t="s">
        <v>35</v>
      </c>
      <c r="C10" s="106"/>
      <c r="D10" s="107"/>
      <c r="E10" s="9">
        <v>0</v>
      </c>
      <c r="F10" s="8" t="s">
        <v>3</v>
      </c>
      <c r="G10" s="1"/>
    </row>
    <row r="11" spans="1:7" ht="15" customHeight="1" x14ac:dyDescent="0.25">
      <c r="A11" s="1"/>
      <c r="B11" s="105" t="s">
        <v>36</v>
      </c>
      <c r="C11" s="106"/>
      <c r="D11" s="107"/>
      <c r="E11" s="9">
        <v>0</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145160.01856904713</v>
      </c>
      <c r="F16" s="8" t="s">
        <v>3</v>
      </c>
      <c r="G16" s="30"/>
    </row>
    <row r="17" spans="1:7" x14ac:dyDescent="0.25">
      <c r="A17" s="1"/>
      <c r="B17" s="105" t="s">
        <v>9</v>
      </c>
      <c r="C17" s="106"/>
      <c r="D17" s="107"/>
      <c r="E17" s="9">
        <v>-49062.27873535805</v>
      </c>
      <c r="F17" s="8" t="s">
        <v>3</v>
      </c>
      <c r="G17" s="1"/>
    </row>
    <row r="18" spans="1:7" x14ac:dyDescent="0.25">
      <c r="A18" s="1"/>
      <c r="B18" s="105" t="s">
        <v>23</v>
      </c>
      <c r="C18" s="106"/>
      <c r="D18" s="107"/>
      <c r="E18" s="9">
        <v>-113289.41820027036</v>
      </c>
      <c r="F18" s="8" t="s">
        <v>3</v>
      </c>
      <c r="G18" s="1"/>
    </row>
    <row r="19" spans="1:7" x14ac:dyDescent="0.25">
      <c r="A19" s="1"/>
      <c r="B19" s="105" t="s">
        <v>24</v>
      </c>
      <c r="C19" s="106"/>
      <c r="D19" s="107"/>
      <c r="E19" s="9">
        <v>-194179.74075797675</v>
      </c>
      <c r="F19" s="8" t="s">
        <v>3</v>
      </c>
      <c r="G19" s="1"/>
    </row>
    <row r="20" spans="1:7" x14ac:dyDescent="0.25">
      <c r="A20" s="1"/>
      <c r="B20" s="108" t="s">
        <v>19</v>
      </c>
      <c r="C20" s="109"/>
      <c r="D20" s="110"/>
      <c r="E20" s="31">
        <f>SUM(E9:E19)</f>
        <v>11686990.758666186</v>
      </c>
      <c r="F20" s="34" t="s">
        <v>3</v>
      </c>
      <c r="G20" s="1"/>
    </row>
    <row r="21" spans="1:7" x14ac:dyDescent="0.25">
      <c r="A21" s="1"/>
      <c r="B21" s="71" t="s">
        <v>11</v>
      </c>
      <c r="C21" s="72"/>
      <c r="D21" s="72"/>
      <c r="E21" s="72"/>
      <c r="F21" s="19"/>
      <c r="G21" s="1"/>
    </row>
    <row r="22" spans="1:7" x14ac:dyDescent="0.25">
      <c r="A22" s="1"/>
      <c r="B22" s="116" t="s">
        <v>11</v>
      </c>
      <c r="C22" s="117"/>
      <c r="D22" s="118"/>
      <c r="E22" s="10">
        <v>12616493.482285151</v>
      </c>
      <c r="F22" s="11" t="s">
        <v>3</v>
      </c>
      <c r="G22" s="1"/>
    </row>
    <row r="23" spans="1:7" ht="15" customHeight="1" x14ac:dyDescent="0.25">
      <c r="A23" s="1"/>
      <c r="B23" s="114" t="s">
        <v>80</v>
      </c>
      <c r="C23" s="115"/>
      <c r="D23" s="115"/>
      <c r="E23" s="72"/>
      <c r="F23" s="72"/>
      <c r="G23" s="1"/>
    </row>
    <row r="24" spans="1:7" ht="14.25" customHeight="1" x14ac:dyDescent="0.25">
      <c r="A24" s="1"/>
      <c r="B24" s="102" t="s">
        <v>76</v>
      </c>
      <c r="C24" s="103"/>
      <c r="D24" s="104"/>
      <c r="E24" s="9">
        <v>0</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0</v>
      </c>
      <c r="F26" s="11" t="s">
        <v>3</v>
      </c>
      <c r="G26" s="1"/>
    </row>
    <row r="27" spans="1:7" x14ac:dyDescent="0.25">
      <c r="A27" s="1"/>
      <c r="B27" s="71" t="s">
        <v>128</v>
      </c>
      <c r="C27" s="72"/>
      <c r="D27" s="72"/>
      <c r="E27" s="72"/>
      <c r="F27" s="19"/>
      <c r="G27" s="1"/>
    </row>
    <row r="28" spans="1:7" ht="15" customHeight="1" x14ac:dyDescent="0.25">
      <c r="A28" s="1"/>
      <c r="B28" s="111" t="s">
        <v>129</v>
      </c>
      <c r="C28" s="112"/>
      <c r="D28" s="113"/>
      <c r="E28" s="10">
        <v>183170.54773022421</v>
      </c>
      <c r="F28" s="11" t="s">
        <v>3</v>
      </c>
      <c r="G28" s="1"/>
    </row>
    <row r="29" spans="1:7" x14ac:dyDescent="0.25">
      <c r="A29" s="1"/>
      <c r="B29" s="71" t="s">
        <v>159</v>
      </c>
      <c r="C29" s="72"/>
      <c r="D29" s="72"/>
      <c r="E29" s="72"/>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24486654.788681559</v>
      </c>
      <c r="F33" s="37"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 style="2" customWidth="1"/>
    <col min="2" max="5" width="9" style="2"/>
    <col min="6" max="6" width="24" style="2" customWidth="1"/>
    <col min="7" max="7" width="13.28515625" style="43" customWidth="1"/>
    <col min="8" max="8" width="3.7109375" style="2" customWidth="1"/>
    <col min="9" max="9" width="2.4257812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8">
        <v>5433459</v>
      </c>
      <c r="H5" s="14" t="s">
        <v>3</v>
      </c>
      <c r="I5" s="1"/>
    </row>
    <row r="6" spans="1:9" x14ac:dyDescent="0.25">
      <c r="A6" s="1"/>
      <c r="B6" s="126" t="s">
        <v>39</v>
      </c>
      <c r="C6" s="127"/>
      <c r="D6" s="127"/>
      <c r="E6" s="127"/>
      <c r="F6" s="128"/>
      <c r="G6" s="58">
        <f>G5*'Fane 13. Nøgletal'!C31</f>
        <v>108669.18000000001</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8">
        <f>(G5-G6)*(1+'Fane 13. Nøgletal'!C9)</f>
        <v>5392414.6507139998</v>
      </c>
      <c r="H10" s="14" t="s">
        <v>3</v>
      </c>
      <c r="I10" s="1"/>
    </row>
    <row r="11" spans="1:9" x14ac:dyDescent="0.25">
      <c r="A11" s="1"/>
      <c r="B11" s="129" t="s">
        <v>41</v>
      </c>
      <c r="C11" s="130"/>
      <c r="D11" s="130"/>
      <c r="E11" s="130"/>
      <c r="F11" s="131"/>
      <c r="G11" s="58">
        <v>0</v>
      </c>
      <c r="H11" s="14" t="s">
        <v>3</v>
      </c>
      <c r="I11" s="1"/>
    </row>
    <row r="12" spans="1:9" x14ac:dyDescent="0.25">
      <c r="A12" s="1"/>
      <c r="B12" s="126" t="s">
        <v>42</v>
      </c>
      <c r="C12" s="127"/>
      <c r="D12" s="127"/>
      <c r="E12" s="127"/>
      <c r="F12" s="128"/>
      <c r="G12" s="58">
        <f>(G10+G11)*'Fane 13. Nøgletal'!C31</f>
        <v>107848.29301428</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8">
        <f>(G10+G11-G12)*(1+'Fane 13. Nøgletal'!C11)</f>
        <v>5373875.529144845</v>
      </c>
      <c r="H16" s="14" t="s">
        <v>3</v>
      </c>
      <c r="I16" s="1"/>
    </row>
    <row r="17" spans="1:9" x14ac:dyDescent="0.25">
      <c r="A17" s="1"/>
      <c r="B17" s="126" t="s">
        <v>108</v>
      </c>
      <c r="C17" s="127"/>
      <c r="D17" s="127"/>
      <c r="E17" s="127"/>
      <c r="F17" s="128"/>
      <c r="G17" s="58">
        <v>-20098.118324705236</v>
      </c>
      <c r="H17" s="14" t="s">
        <v>3</v>
      </c>
      <c r="I17" s="1"/>
    </row>
    <row r="18" spans="1:9" x14ac:dyDescent="0.25">
      <c r="A18" s="1"/>
      <c r="B18" s="129" t="s">
        <v>44</v>
      </c>
      <c r="C18" s="130"/>
      <c r="D18" s="130"/>
      <c r="E18" s="130"/>
      <c r="F18" s="131"/>
      <c r="G18" s="58">
        <v>404133.06541531993</v>
      </c>
      <c r="H18" s="14" t="s">
        <v>3</v>
      </c>
      <c r="I18" s="1"/>
    </row>
    <row r="19" spans="1:9" x14ac:dyDescent="0.25">
      <c r="A19" s="1"/>
      <c r="B19" s="126" t="s">
        <v>45</v>
      </c>
      <c r="C19" s="127"/>
      <c r="D19" s="127"/>
      <c r="E19" s="127"/>
      <c r="F19" s="128"/>
      <c r="G19" s="58">
        <f>SUM(G16:G18)*'Fane 13. Nøgletal'!C31</f>
        <v>115158.20952470919</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8">
        <f>(SUM(G16:G18)-G19)*(1+'Fane 13. Nøgletal'!C11)</f>
        <v>5738114.780018162</v>
      </c>
      <c r="H23" s="14" t="s">
        <v>3</v>
      </c>
      <c r="I23" s="1"/>
    </row>
    <row r="24" spans="1:9" x14ac:dyDescent="0.25">
      <c r="A24" s="1"/>
      <c r="B24" s="129" t="s">
        <v>47</v>
      </c>
      <c r="C24" s="130"/>
      <c r="D24" s="130"/>
      <c r="E24" s="130"/>
      <c r="F24" s="131"/>
      <c r="G24" s="58">
        <v>0</v>
      </c>
      <c r="H24" s="14" t="s">
        <v>3</v>
      </c>
      <c r="I24" s="1"/>
    </row>
    <row r="25" spans="1:9" x14ac:dyDescent="0.25">
      <c r="A25" s="1"/>
      <c r="B25" s="126" t="s">
        <v>48</v>
      </c>
      <c r="C25" s="127"/>
      <c r="D25" s="127"/>
      <c r="E25" s="127"/>
      <c r="F25" s="128"/>
      <c r="G25" s="58">
        <f>(G23+G24)*'Fane 13. Nøgletal'!C31</f>
        <v>114762.29560036324</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8">
        <f>(G23+G24-G25)*(1+'Fane 13. Nøgletal'!C13)</f>
        <v>5691957.384727696</v>
      </c>
      <c r="H29" s="14" t="s">
        <v>3</v>
      </c>
      <c r="I29" s="1"/>
    </row>
    <row r="30" spans="1:9" x14ac:dyDescent="0.25">
      <c r="A30" s="1"/>
      <c r="B30" s="126" t="s">
        <v>121</v>
      </c>
      <c r="C30" s="127"/>
      <c r="D30" s="127"/>
      <c r="E30" s="127"/>
      <c r="F30" s="128"/>
      <c r="G30" s="58">
        <v>18448.026413039999</v>
      </c>
      <c r="H30" s="14" t="s">
        <v>3</v>
      </c>
      <c r="I30" s="1"/>
    </row>
    <row r="31" spans="1:9" x14ac:dyDescent="0.25">
      <c r="A31" s="1"/>
      <c r="B31" s="126" t="s">
        <v>126</v>
      </c>
      <c r="C31" s="127"/>
      <c r="D31" s="127"/>
      <c r="E31" s="127"/>
      <c r="F31" s="128"/>
      <c r="G31" s="58">
        <f>(G29+G30)*'Fane 13. Nøgletal'!C31</f>
        <v>114208.10822281473</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8">
        <f>(G29+G30-G31)*(1+'Fane 13. Nøgletal'!C13)</f>
        <v>5664470.9100135202</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0</v>
      </c>
      <c r="H36" s="14" t="s">
        <v>3</v>
      </c>
      <c r="I36" s="1"/>
    </row>
    <row r="37" spans="1:9" x14ac:dyDescent="0.25">
      <c r="A37" s="1"/>
      <c r="B37" s="126" t="s">
        <v>134</v>
      </c>
      <c r="C37" s="127"/>
      <c r="D37" s="127"/>
      <c r="E37" s="127"/>
      <c r="F37" s="128"/>
      <c r="G37" s="58">
        <f>(G35+G36)*'Fane 13. Nøgletal'!C31</f>
        <v>113289.4182002704</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8">
        <f>(G35+G36-G37)*(1+'Fane 13. Nøgletal'!C15)</f>
        <v>5748803.5529218018</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111889.44720144002</v>
      </c>
      <c r="H42" s="14" t="s">
        <v>3</v>
      </c>
      <c r="I42" s="1"/>
    </row>
    <row r="43" spans="1:9" x14ac:dyDescent="0.25">
      <c r="A43" s="1"/>
      <c r="B43" s="126" t="s">
        <v>208</v>
      </c>
      <c r="C43" s="127"/>
      <c r="D43" s="127"/>
      <c r="E43" s="127"/>
      <c r="F43" s="128"/>
      <c r="G43" s="58">
        <f>(G41+G42)*'Fane 13. Nøgletal'!C31</f>
        <v>117213.86000246485</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8">
        <f>(G41+G42-G43)*(1+'Fane 13. Nøgletal'!C15)</f>
        <v>5947946.9975090772</v>
      </c>
      <c r="H47" s="14" t="s">
        <v>3</v>
      </c>
      <c r="I47" s="1"/>
    </row>
    <row r="48" spans="1:9" x14ac:dyDescent="0.25">
      <c r="A48" s="1"/>
      <c r="B48" s="126" t="s">
        <v>209</v>
      </c>
      <c r="C48" s="127"/>
      <c r="D48" s="127"/>
      <c r="E48" s="127"/>
      <c r="F48" s="128"/>
      <c r="G48" s="58">
        <f>(G47)*'Fane 13. Nøgletal'!C31</f>
        <v>118958.93995018155</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8">
        <f>(G47-G48)*(1+'Fane 13. Nøgletal'!C15)</f>
        <v>6036500.0324079935</v>
      </c>
      <c r="H52" s="14" t="s">
        <v>3</v>
      </c>
      <c r="I52" s="1"/>
    </row>
    <row r="53" spans="1:9" x14ac:dyDescent="0.25">
      <c r="A53" s="1"/>
      <c r="B53" s="126" t="s">
        <v>147</v>
      </c>
      <c r="C53" s="127"/>
      <c r="D53" s="127"/>
      <c r="E53" s="127"/>
      <c r="F53" s="128"/>
      <c r="G53" s="58">
        <f>(G52)*'Fane 13. Nøgletal'!C31</f>
        <v>120730.00064815987</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8">
        <f>(G52-G53)*(1+'Fane 13. Nøgletal'!C15)</f>
        <v>6126371.4448904842</v>
      </c>
      <c r="H57" s="14" t="s">
        <v>3</v>
      </c>
      <c r="I57" s="1"/>
    </row>
    <row r="58" spans="1:9" x14ac:dyDescent="0.25">
      <c r="A58" s="1"/>
      <c r="B58" s="126" t="s">
        <v>176</v>
      </c>
      <c r="C58" s="127"/>
      <c r="D58" s="127"/>
      <c r="E58" s="127"/>
      <c r="F58" s="128"/>
      <c r="G58" s="58">
        <f>(G57)*'Fane 13. Nøgletal'!C31</f>
        <v>122527.42889780969</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28515625" style="2" customWidth="1"/>
    <col min="2" max="5" width="9" style="2"/>
    <col min="6" max="6" width="28.28515625" style="2" customWidth="1"/>
    <col min="7" max="7" width="10.28515625" style="2" customWidth="1"/>
    <col min="8" max="8" width="2.85546875" style="2" bestFit="1" customWidth="1"/>
    <col min="9" max="9" width="2"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8">
        <v>6508235</v>
      </c>
      <c r="H5" s="14" t="s">
        <v>3</v>
      </c>
      <c r="I5" s="1"/>
    </row>
    <row r="6" spans="1:9" x14ac:dyDescent="0.25">
      <c r="A6" s="1"/>
      <c r="B6" s="126" t="s">
        <v>54</v>
      </c>
      <c r="C6" s="127"/>
      <c r="D6" s="127"/>
      <c r="E6" s="127"/>
      <c r="F6" s="128"/>
      <c r="G6" s="58">
        <f>G5*'Fane 13. Nøgletal'!C20</f>
        <v>59224.938500000004</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8">
        <f>(G5-G6)*(1+'Fane 13. Nøgletal'!C9)</f>
        <v>6530912.489281049</v>
      </c>
      <c r="H10" s="14" t="s">
        <v>3</v>
      </c>
      <c r="I10" s="1"/>
    </row>
    <row r="11" spans="1:9" x14ac:dyDescent="0.25">
      <c r="A11" s="1"/>
      <c r="B11" s="129" t="s">
        <v>59</v>
      </c>
      <c r="C11" s="130"/>
      <c r="D11" s="130"/>
      <c r="E11" s="130"/>
      <c r="F11" s="131"/>
      <c r="G11" s="63">
        <v>0</v>
      </c>
      <c r="H11" s="14" t="s">
        <v>3</v>
      </c>
      <c r="I11" s="1"/>
    </row>
    <row r="12" spans="1:9" x14ac:dyDescent="0.25">
      <c r="A12" s="1"/>
      <c r="B12" s="126" t="s">
        <v>60</v>
      </c>
      <c r="C12" s="127"/>
      <c r="D12" s="127"/>
      <c r="E12" s="127"/>
      <c r="F12" s="128"/>
      <c r="G12" s="58">
        <f>G10*'Fane 13. Nøgletal'!C20+G11*'Fane 13. Nøgletal'!C21</f>
        <v>59431.303652457551</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8">
        <f>(G10+G11-G12)*(1+'Fane 13. Nøgletal'!C11)</f>
        <v>6580849.2176657133</v>
      </c>
      <c r="H16" s="14" t="s">
        <v>3</v>
      </c>
      <c r="I16" s="1"/>
    </row>
    <row r="17" spans="1:9" x14ac:dyDescent="0.25">
      <c r="A17" s="1"/>
      <c r="B17" s="126" t="s">
        <v>109</v>
      </c>
      <c r="C17" s="127"/>
      <c r="D17" s="127"/>
      <c r="E17" s="127"/>
      <c r="F17" s="128"/>
      <c r="G17" s="58">
        <v>117200.36801839173</v>
      </c>
      <c r="H17" s="14" t="s">
        <v>3</v>
      </c>
      <c r="I17" s="1"/>
    </row>
    <row r="18" spans="1:9" x14ac:dyDescent="0.25">
      <c r="A18" s="1"/>
      <c r="B18" s="129" t="s">
        <v>63</v>
      </c>
      <c r="C18" s="130"/>
      <c r="D18" s="130"/>
      <c r="E18" s="130"/>
      <c r="F18" s="131"/>
      <c r="G18" s="58">
        <v>290892.41843543993</v>
      </c>
      <c r="H18" s="14" t="s">
        <v>3</v>
      </c>
      <c r="I18" s="1"/>
    </row>
    <row r="19" spans="1:9" x14ac:dyDescent="0.25">
      <c r="A19" s="1"/>
      <c r="B19" s="126" t="s">
        <v>64</v>
      </c>
      <c r="C19" s="127"/>
      <c r="D19" s="127"/>
      <c r="E19" s="127"/>
      <c r="F19" s="128"/>
      <c r="G19" s="58">
        <f>(G16+G17+G18)*'Fane 13. Nøgletal'!C22</f>
        <v>60803.795435840038</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8">
        <f>(SUM(G16:G18)-G19)*(1+'Fane 13. Nøgletal'!C11)</f>
        <v>7045223.744410459</v>
      </c>
      <c r="H23" s="14" t="s">
        <v>3</v>
      </c>
      <c r="I23" s="1"/>
    </row>
    <row r="24" spans="1:9" x14ac:dyDescent="0.25">
      <c r="A24" s="1"/>
      <c r="B24" s="129" t="s">
        <v>67</v>
      </c>
      <c r="C24" s="130"/>
      <c r="D24" s="130"/>
      <c r="E24" s="130"/>
      <c r="F24" s="131"/>
      <c r="G24" s="58">
        <v>0</v>
      </c>
      <c r="H24" s="14" t="s">
        <v>3</v>
      </c>
      <c r="I24" s="1"/>
    </row>
    <row r="25" spans="1:9" x14ac:dyDescent="0.25">
      <c r="A25" s="1"/>
      <c r="B25" s="126" t="s">
        <v>68</v>
      </c>
      <c r="C25" s="127"/>
      <c r="D25" s="127"/>
      <c r="E25" s="127"/>
      <c r="F25" s="128"/>
      <c r="G25" s="58">
        <f>G23*'Fane 13. Nøgletal'!C22+G24*'Fane 13. Nøgletal'!C23</f>
        <v>61293.446576370989</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8">
        <f>(G23+G24-G25)*(1+'Fane 13. Nøgletal'!C13)</f>
        <v>7069134.2474676641</v>
      </c>
      <c r="H29" s="14" t="s">
        <v>3</v>
      </c>
      <c r="I29" s="1"/>
    </row>
    <row r="30" spans="1:9" x14ac:dyDescent="0.25">
      <c r="A30" s="1"/>
      <c r="B30" s="126" t="s">
        <v>123</v>
      </c>
      <c r="C30" s="127"/>
      <c r="D30" s="127"/>
      <c r="E30" s="127"/>
      <c r="F30" s="128"/>
      <c r="G30" s="58">
        <v>104104.40763239999</v>
      </c>
      <c r="H30" s="14" t="s">
        <v>3</v>
      </c>
      <c r="I30" s="1"/>
    </row>
    <row r="31" spans="1:9" x14ac:dyDescent="0.25">
      <c r="A31" s="1"/>
      <c r="B31" s="126" t="s">
        <v>131</v>
      </c>
      <c r="C31" s="127"/>
      <c r="D31" s="127"/>
      <c r="E31" s="127"/>
      <c r="F31" s="128"/>
      <c r="G31" s="58">
        <f>(G29+G30)*'Fane 13. Nøgletal'!C24</f>
        <v>197264.06301525177</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8">
        <f>(G29+G30-G31)*(1+'Fane 13. Nøgletal'!C13)</f>
        <v>7061081.4821082475</v>
      </c>
      <c r="H35" s="14" t="s">
        <v>3</v>
      </c>
      <c r="I35" s="1"/>
    </row>
    <row r="36" spans="1:9" x14ac:dyDescent="0.25">
      <c r="A36" s="1"/>
      <c r="B36" s="126" t="s">
        <v>141</v>
      </c>
      <c r="C36" s="127"/>
      <c r="D36" s="127"/>
      <c r="E36" s="127"/>
      <c r="F36" s="128"/>
      <c r="G36" s="58">
        <f>SUM('Fane 3. Omkostninger i ØR2022'!E11)*(1+'Fane 13. Nøgletal'!C14)</f>
        <v>0</v>
      </c>
      <c r="H36" s="14" t="s">
        <v>3</v>
      </c>
      <c r="I36" s="1"/>
    </row>
    <row r="37" spans="1:9" x14ac:dyDescent="0.25">
      <c r="A37" s="1"/>
      <c r="B37" s="126" t="s">
        <v>136</v>
      </c>
      <c r="C37" s="127"/>
      <c r="D37" s="127"/>
      <c r="E37" s="127"/>
      <c r="F37" s="128"/>
      <c r="G37" s="58">
        <f>G35*'Fane 13. Nøgletal'!C24+G36*'Fane 13. Nøgletal'!C25</f>
        <v>194179.7407579768</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8">
        <f>(G35+G36-G37)*(1+'Fane 13. Nøgletal'!C15)</f>
        <v>7111363.4433423411</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360353.32282944006</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8">
        <f>(G41+G42-G43)*(1+'Fane 13. Nøgletal'!C15)</f>
        <v>7737709.8830474969</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8">
        <f>(G47-G48)*(1+'Fane 13. Nøgletal'!C15)</f>
        <v>8013172.3548839884</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8">
        <f>(G52-G53)*(1+'Fane 13. Nøgletal'!C15)</f>
        <v>8298441.2907178588</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1"/>
      <c r="H8" s="1"/>
    </row>
    <row r="9" spans="1:8" x14ac:dyDescent="0.25">
      <c r="A9" s="1"/>
      <c r="B9" s="76" t="s">
        <v>180</v>
      </c>
      <c r="C9" s="77"/>
      <c r="D9" s="77"/>
      <c r="E9" s="77"/>
      <c r="F9" s="78"/>
      <c r="G9" s="28">
        <v>0</v>
      </c>
      <c r="H9" s="1"/>
    </row>
    <row r="10" spans="1:8" x14ac:dyDescent="0.25">
      <c r="A10" s="1"/>
      <c r="B10" s="71"/>
      <c r="C10" s="72"/>
      <c r="D10" s="72"/>
      <c r="E10" s="72"/>
      <c r="F10" s="72"/>
      <c r="G10" s="19"/>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AKbX2X61pVLov2FsOpzc/hhjeGHyqBroQeoUKI6HMrBuaBdwbkhR9JjdHIsv8Va1KEym8gl0kQ/Eu2WbMAMXQA==" saltValue="xjHtxjE44gxgcnP7eBkH8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2022-12-01T08:56:01Z</dcterms:modified>
</cp:coreProperties>
</file>