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INGSTED VAND AS (V154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2" l="1"/>
  <c r="C24" i="15"/>
  <c r="C23" i="23"/>
  <c r="C30" i="2"/>
  <c r="C15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<sst xmlns="http://schemas.openxmlformats.org/spreadsheetml/2006/main" count="623" uniqueCount="256">
  <si>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</si>
  <si>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</si>
  <si>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</si>
  <si>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</si>
  <si>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</si>
  <si>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</si>
  <si>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</si>
  <si>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</si>
  <si>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</si>
  <si>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</si>
  <si>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</si>
  <si>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</si>
  <si>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</si>
  <si>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</si>
  <si>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</si>
  <si>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</si>
  <si>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</si>
  <si>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</si>
  <si>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</si>
  <si>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</si>
  <si>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</si>
  <si>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</si>
  <si>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</si>
  <si>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</si>
  <si>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</si>
  <si>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</si>
  <si>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</si>
  <si>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</si>
  <si>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</si>
  <si>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</si>
  <si>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</si>
  <si>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</si>
  <si>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</si>
  <si>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</si>
  <si>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</si>
  <si>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</si>
  <si>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</si>
  <si>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</si>
  <si>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</si>
  <si>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</si>
  <si>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</si>
  <si>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</si>
  <si>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</si>
  <si>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</si>
  <si>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</si>
  <si>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</si>
  <si>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</si>
  <si>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</si>
  <si>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</si>
  <si>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</si>
  <si>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</si>
  <si>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</si>
  <si>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</si>
  <si>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</si>
  <si>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</si>
  <si>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</si>
  <si>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</si>
  <si>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</si>
  <si>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</si>
  <si>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</si>
  <si>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</si>
  <si>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</si>
  <si>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</si>
  <si>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</si>
  <si>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</si>
  <si>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</si>
  <si>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</si>
  <si>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</si>
  <si>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</si>
  <si>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</si>
  <si>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</si>
  <si>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</si>
  <si>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</si>
  <si>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</si>
  <si>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</si>
  <si>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</si>
  <si>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</si>
  <si>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</si>
  <si>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</si>
  <si>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</si>
  <si>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</si>
  <si>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</si>
  <si>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</si>
  <si>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</si>
  <si>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</si>
  <si>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</si>
  <si>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</si>
  <si>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</si>
  <si>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</si>
  <si>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</si>
  <si>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</si>
  <si>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</si>
  <si>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</si>
  <si>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</si>
  <si>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</si>
  <si>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</si>
  <si>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</si>
  <si>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</si>
  <si>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</si>
  <si>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</si>
  <si>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</si>
  <si>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</si>
  <si>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</si>
  <si>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</si>
  <si>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</si>
  <si>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</si>
  <si>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</si>
  <si>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</si>
  <si>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</si>
  <si>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</si>
  <si>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</si>
  <si>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</si>
  <si>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</si>
  <si>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</si>
  <si>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</si>
  <si>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</si>
  <si>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</si>
  <si>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</si>
  <si>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</si>
  <si>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</si>
  <si>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</si>
  <si>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</si>
  <si>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</si>
  <si>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</si>
  <si>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</si>
  <si>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</si>
  <si>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</si>
  <si>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</si>
  <si>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</si>
  <si>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</si>
  <si>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</si>
  <si>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</si>
  <si>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</si>
  <si>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</si>
  <si>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</si>
  <si>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</si>
  <si>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</si>
  <si>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</si>
  <si>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</si>
  <si>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</si>
  <si>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</si>
  <si>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</si>
  <si>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</si>
  <si>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</si>
  <si>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</si>
  <si>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</si>
  <si>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</si>
  <si>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</si>
  <si>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</si>
  <si>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</si>
  <si>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</si>
  <si>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</si>
  <si>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</si>
  <si>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</si>
  <si>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</si>
  <si>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</si>
  <si>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</si>
  <si>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</si>
  <si>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</si>
  <si>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</si>
  <si>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</si>
  <si>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</si>
  <si>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</si>
  <si>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</si>
  <si>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</si>
  <si>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</si>
  <si>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</si>
  <si>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</si>
  <si>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</si>
  <si>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</si>
  <si>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</si>
  <si>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</si>
  <si>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</si>
  <si>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</si>
  <si>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</si>
  <si>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</si>
  <si>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</si>
  <si>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</si>
  <si>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</si>
  <si>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</si>
  <si>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</si>
  <si>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</si>
  <si>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</si>
  <si>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</si>
  <si>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</si>
  <si>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</si>
  <si>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</si>
  <si>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</si>
  <si>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</si>
  <si>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</si>
  <si>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</si>
  <si>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</si>
  <si>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</si>
  <si>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</si>
  <si>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</si>
  <si>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</si>
  <si>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</si>
  <si>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</si>
  <si>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</si>
  <si>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</si>
  <si>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</si>
  <si>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</si>
  <si>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</si>
  <si>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</si>
  <si>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</si>
  <si>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</si>
  <si>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</si>
  <si>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</si>
  <si>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</si>
  <si>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</si>
  <si>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</si>
  <si>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</si>
  <si>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</si>
  <si>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</si>
  <si>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</si>
  <si>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</si>
  <si>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</si>
  <si>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</si>
  <si>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</si>
  <si>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</si>
  <si>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</si>
  <si>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</si>
  <si>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</si>
  <si>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</si>
  <si>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</si>
  <si>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</si>
  <si>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</si>
  <si>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Byggemodninger og udvidelser</t>
  </si>
  <si>
    <t>Pumpe inkl. stigrør og forerørsforsejlinger mv.</t>
  </si>
  <si>
    <t>15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</si>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</sst>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3" t="s">
        <v>4</v>
      </c>
      <c r="E6" s="73"/>
      <c r="F6" s="73"/>
      <c r="G6" s="73"/>
      <c r="H6" s="3"/>
      <c r="I6" s="1"/>
    </row>
    <row r="7" spans="1:9" ht="15" customHeight="1" x14ac:dyDescent="0.25">
      <c r="A7" s="1"/>
      <c r="B7" s="1"/>
      <c r="C7" s="3"/>
      <c r="D7" s="73"/>
      <c r="E7" s="73"/>
      <c r="F7" s="73"/>
      <c r="G7" s="73"/>
      <c r="H7" s="3"/>
      <c r="I7" s="1"/>
    </row>
    <row r="8" spans="1:9" ht="15.75" x14ac:dyDescent="0.25">
      <c r="A8" s="1"/>
      <c r="B8" s="1"/>
      <c r="C8" s="4"/>
      <c r="D8" s="78" t="s">
        <v>180</v>
      </c>
      <c r="E8" s="78"/>
      <c r="F8" s="78"/>
      <c r="G8" s="7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0" t="s">
        <v>163</v>
      </c>
      <c r="E13" s="71"/>
      <c r="F13" s="71"/>
      <c r="G13" s="72"/>
      <c r="H13" s="1"/>
      <c r="I13" s="1"/>
    </row>
    <row r="14" spans="1:9" x14ac:dyDescent="0.25">
      <c r="A14" s="1"/>
      <c r="B14" s="1"/>
      <c r="C14" s="6" t="s">
        <v>15</v>
      </c>
      <c r="D14" s="70" t="s">
        <v>83</v>
      </c>
      <c r="E14" s="71"/>
      <c r="F14" s="71"/>
      <c r="G14" s="72"/>
      <c r="H14" s="1"/>
      <c r="I14" s="1"/>
    </row>
    <row r="15" spans="1:9" x14ac:dyDescent="0.25">
      <c r="A15" s="1"/>
      <c r="B15" s="1"/>
      <c r="C15" s="6" t="s">
        <v>35</v>
      </c>
      <c r="D15" s="70" t="s">
        <v>128</v>
      </c>
      <c r="E15" s="71"/>
      <c r="F15" s="71"/>
      <c r="G15" s="72"/>
      <c r="H15" s="1"/>
      <c r="I15" s="1"/>
    </row>
    <row r="16" spans="1:9" x14ac:dyDescent="0.25">
      <c r="A16" s="1"/>
      <c r="B16" s="1"/>
      <c r="C16" s="6" t="s">
        <v>36</v>
      </c>
      <c r="D16" s="70" t="s">
        <v>181</v>
      </c>
      <c r="E16" s="71"/>
      <c r="F16" s="71"/>
      <c r="G16" s="72"/>
      <c r="H16" s="1"/>
      <c r="I16" s="1"/>
    </row>
    <row r="17" spans="1:9" x14ac:dyDescent="0.25">
      <c r="A17" s="1"/>
      <c r="B17" s="1"/>
      <c r="C17" s="6" t="s">
        <v>127</v>
      </c>
      <c r="D17" s="70" t="s">
        <v>182</v>
      </c>
      <c r="E17" s="71"/>
      <c r="F17" s="71"/>
      <c r="G17" s="72"/>
      <c r="H17" s="1"/>
      <c r="I17" s="1"/>
    </row>
    <row r="18" spans="1:9" x14ac:dyDescent="0.25">
      <c r="A18" s="1"/>
      <c r="B18" s="1"/>
      <c r="C18" s="32" t="s">
        <v>111</v>
      </c>
      <c r="D18" s="79" t="s">
        <v>100</v>
      </c>
      <c r="E18" s="80"/>
      <c r="F18" s="80"/>
      <c r="G18" s="81"/>
      <c r="H18" s="1"/>
      <c r="I18" s="1"/>
    </row>
    <row r="19" spans="1:9" x14ac:dyDescent="0.25">
      <c r="A19" s="1"/>
      <c r="B19" s="1"/>
      <c r="C19" s="32" t="s">
        <v>112</v>
      </c>
      <c r="D19" s="79" t="s">
        <v>101</v>
      </c>
      <c r="E19" s="80"/>
      <c r="F19" s="80"/>
      <c r="G19" s="81"/>
      <c r="H19" s="1"/>
      <c r="I19" s="1"/>
    </row>
    <row r="20" spans="1:9" x14ac:dyDescent="0.25">
      <c r="A20" s="1"/>
      <c r="B20" s="1"/>
      <c r="C20" s="32" t="s">
        <v>7</v>
      </c>
      <c r="D20" s="79" t="s">
        <v>9</v>
      </c>
      <c r="E20" s="80"/>
      <c r="F20" s="80"/>
      <c r="G20" s="81"/>
      <c r="H20" s="1"/>
      <c r="I20" s="1"/>
    </row>
    <row r="21" spans="1:9" x14ac:dyDescent="0.25">
      <c r="A21" s="1"/>
      <c r="B21" s="1"/>
      <c r="C21" s="6" t="s">
        <v>113</v>
      </c>
      <c r="D21" s="85" t="s">
        <v>12</v>
      </c>
      <c r="E21" s="86"/>
      <c r="F21" s="86"/>
      <c r="G21" s="87"/>
      <c r="H21" s="1"/>
      <c r="I21" s="1"/>
    </row>
    <row r="22" spans="1:9" x14ac:dyDescent="0.25">
      <c r="A22" s="1"/>
      <c r="B22" s="1"/>
      <c r="C22" s="6" t="s">
        <v>87</v>
      </c>
      <c r="D22" s="74" t="s">
        <v>183</v>
      </c>
      <c r="E22" s="75"/>
      <c r="F22" s="75"/>
      <c r="G22" s="76"/>
      <c r="H22" s="1"/>
      <c r="I22" s="1"/>
    </row>
    <row r="23" spans="1:9" x14ac:dyDescent="0.25">
      <c r="A23" s="1"/>
      <c r="B23" s="1"/>
      <c r="C23" s="6" t="s">
        <v>8</v>
      </c>
      <c r="D23" s="74" t="s">
        <v>37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170</v>
      </c>
      <c r="D24" s="74" t="s">
        <v>88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171</v>
      </c>
      <c r="D25" s="74" t="s">
        <v>89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172</v>
      </c>
      <c r="D26" s="74" t="s">
        <v>129</v>
      </c>
      <c r="E26" s="75"/>
      <c r="F26" s="75"/>
      <c r="G26" s="76"/>
      <c r="H26" s="1"/>
      <c r="I26" s="1"/>
    </row>
    <row r="27" spans="1:9" x14ac:dyDescent="0.25">
      <c r="A27" s="1"/>
      <c r="B27" s="1"/>
      <c r="C27" s="6" t="s">
        <v>114</v>
      </c>
      <c r="D27" s="74" t="s">
        <v>38</v>
      </c>
      <c r="E27" s="75"/>
      <c r="F27" s="75"/>
      <c r="G27" s="76"/>
      <c r="H27" s="1"/>
      <c r="I27" s="1"/>
    </row>
    <row r="28" spans="1:9" x14ac:dyDescent="0.25">
      <c r="A28" s="1"/>
      <c r="B28" s="1"/>
      <c r="C28" s="6" t="s">
        <v>108</v>
      </c>
      <c r="D28" s="82" t="s">
        <v>109</v>
      </c>
      <c r="E28" s="83"/>
      <c r="F28" s="83"/>
      <c r="G28" s="84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XIGIcCTk7nODllExrBD9KaWsVhAVh3FPsxkOgHMThlpDBbMcC7i0NkBhriITZeRWG2AZPiNIdrFW7Fnz69PSog==" saltValue="nkJyqAxuypJjvNE85iT4I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4" t="s">
        <v>203</v>
      </c>
      <c r="C8" s="115"/>
      <c r="D8" s="116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2" t="s">
        <v>231</v>
      </c>
      <c r="C10" s="9">
        <v>10451282</v>
      </c>
      <c r="D10" s="14" t="s">
        <v>3</v>
      </c>
      <c r="E10" s="1"/>
      <c r="F10" s="1"/>
    </row>
    <row r="11" spans="1:6" ht="15" customHeight="1" x14ac:dyDescent="0.25">
      <c r="A11" s="1"/>
      <c r="B11" s="62" t="s">
        <v>232</v>
      </c>
      <c r="C11" s="9">
        <v>71256</v>
      </c>
      <c r="D11" s="14" t="s">
        <v>3</v>
      </c>
      <c r="E11" s="1"/>
      <c r="F11" s="1"/>
    </row>
    <row r="12" spans="1:6" x14ac:dyDescent="0.25">
      <c r="A12" s="1"/>
      <c r="B12" s="62" t="s">
        <v>233</v>
      </c>
      <c r="C12" s="9">
        <v>4502</v>
      </c>
      <c r="D12" s="14" t="s">
        <v>3</v>
      </c>
      <c r="E12" s="1"/>
      <c r="F12" s="1"/>
    </row>
    <row r="13" spans="1:6" x14ac:dyDescent="0.25">
      <c r="A13" s="1"/>
      <c r="B13" s="62" t="s">
        <v>234</v>
      </c>
      <c r="C13" s="9">
        <v>41715</v>
      </c>
      <c r="D13" s="14" t="s">
        <v>3</v>
      </c>
      <c r="E13" s="1"/>
      <c r="F13" s="1"/>
    </row>
    <row r="14" spans="1:6" x14ac:dyDescent="0.25">
      <c r="A14" s="1"/>
      <c r="B14" s="62" t="s">
        <v>235</v>
      </c>
      <c r="C14" s="9">
        <v>74853</v>
      </c>
      <c r="D14" s="14" t="s">
        <v>3</v>
      </c>
      <c r="E14" s="1"/>
      <c r="F14" s="1"/>
    </row>
    <row r="15" spans="1:6" x14ac:dyDescent="0.25">
      <c r="A15" s="1"/>
      <c r="B15" s="54" t="s">
        <v>205</v>
      </c>
      <c r="C15" s="12">
        <f>SUM(C10:C14)</f>
        <v>10643608</v>
      </c>
      <c r="D15" s="13" t="s">
        <v>3</v>
      </c>
      <c r="E15" s="1"/>
      <c r="F15" s="1"/>
    </row>
    <row r="16" spans="1:6" x14ac:dyDescent="0.25">
      <c r="A16" s="1"/>
      <c r="B16" s="54" t="s">
        <v>206</v>
      </c>
      <c r="C16" s="12">
        <f>C15*(1+'Fane 12. Nøgletal'!C14)^2</f>
        <v>10713971.721691122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+VjYZ/hfDjYvGAnZwMNJFZ08laocqkiqavXg8UIf8apVgfSCm9IIraKIClDcQDHqHsXwuniolxGs+Hw8eEBdow==" saltValue="tyeblF1rbIcNyxSLyTtgt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7" t="s">
        <v>221</v>
      </c>
      <c r="C3" s="107"/>
      <c r="D3" s="107"/>
      <c r="E3" s="107"/>
      <c r="F3" s="107"/>
      <c r="G3" s="1"/>
    </row>
    <row r="4" spans="1:7" ht="15" customHeight="1" x14ac:dyDescent="0.25">
      <c r="A4" s="1"/>
      <c r="B4" s="107"/>
      <c r="C4" s="107"/>
      <c r="D4" s="107"/>
      <c r="E4" s="107"/>
      <c r="F4" s="107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237</v>
      </c>
      <c r="C8" s="115"/>
      <c r="D8" s="115"/>
      <c r="E8" s="115"/>
      <c r="F8" s="116"/>
      <c r="G8" s="1"/>
    </row>
    <row r="9" spans="1:7" x14ac:dyDescent="0.25">
      <c r="A9" s="1"/>
      <c r="B9" s="111" t="s">
        <v>238</v>
      </c>
      <c r="C9" s="112"/>
      <c r="D9" s="113"/>
      <c r="E9" s="9">
        <v>2396315.9982687719</v>
      </c>
      <c r="F9" s="14" t="s">
        <v>3</v>
      </c>
      <c r="G9" s="1"/>
    </row>
    <row r="10" spans="1:7" x14ac:dyDescent="0.25">
      <c r="A10" s="1"/>
      <c r="B10" s="111" t="s">
        <v>239</v>
      </c>
      <c r="C10" s="112"/>
      <c r="D10" s="113"/>
      <c r="E10" s="9">
        <v>-1477795.4331598692</v>
      </c>
      <c r="F10" s="14" t="s">
        <v>3</v>
      </c>
      <c r="G10" s="1"/>
    </row>
    <row r="11" spans="1:7" x14ac:dyDescent="0.25">
      <c r="A11" s="1"/>
      <c r="B11" s="111" t="s">
        <v>240</v>
      </c>
      <c r="C11" s="112"/>
      <c r="D11" s="113"/>
      <c r="E11" s="9">
        <v>-204076.61639726907</v>
      </c>
      <c r="F11" s="14" t="s">
        <v>3</v>
      </c>
      <c r="G11" s="1"/>
    </row>
    <row r="12" spans="1:7" x14ac:dyDescent="0.25">
      <c r="A12" s="1"/>
      <c r="B12" s="111" t="s">
        <v>241</v>
      </c>
      <c r="C12" s="112"/>
      <c r="D12" s="113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0" t="s">
        <v>242</v>
      </c>
      <c r="C14" s="91"/>
      <c r="D14" s="91"/>
      <c r="E14" s="91"/>
      <c r="F14" s="9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243</v>
      </c>
      <c r="C16" s="115"/>
      <c r="D16" s="115"/>
      <c r="E16" s="115"/>
      <c r="F16" s="116"/>
      <c r="G16" s="1"/>
    </row>
    <row r="17" spans="1:7" x14ac:dyDescent="0.25">
      <c r="A17" s="1"/>
      <c r="B17" s="111" t="s">
        <v>244</v>
      </c>
      <c r="C17" s="112"/>
      <c r="D17" s="113"/>
      <c r="E17" s="9">
        <v>0</v>
      </c>
      <c r="F17" s="14" t="s">
        <v>3</v>
      </c>
      <c r="G17" s="1"/>
    </row>
    <row r="18" spans="1:7" x14ac:dyDescent="0.25">
      <c r="A18" s="1"/>
      <c r="B18" s="111" t="s">
        <v>245</v>
      </c>
      <c r="C18" s="112"/>
      <c r="D18" s="113"/>
      <c r="E18" s="9">
        <v>0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90" t="s">
        <v>246</v>
      </c>
      <c r="C20" s="91"/>
      <c r="D20" s="91"/>
      <c r="E20" s="91"/>
      <c r="F20" s="9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207</v>
      </c>
      <c r="C22" s="57"/>
      <c r="D22" s="57"/>
      <c r="E22" s="57"/>
      <c r="F22" s="58"/>
      <c r="G22" s="1"/>
    </row>
    <row r="23" spans="1:7" x14ac:dyDescent="0.25">
      <c r="A23" s="1"/>
      <c r="B23" s="59" t="s">
        <v>208</v>
      </c>
      <c r="C23" s="60"/>
      <c r="D23" s="61"/>
      <c r="E23" s="9">
        <v>27297580.790533759</v>
      </c>
      <c r="F23" s="14" t="s">
        <v>3</v>
      </c>
      <c r="G23" s="1"/>
    </row>
    <row r="24" spans="1:7" x14ac:dyDescent="0.25">
      <c r="A24" s="1"/>
      <c r="B24" s="59" t="s">
        <v>209</v>
      </c>
      <c r="C24" s="60"/>
      <c r="D24" s="61"/>
      <c r="E24" s="9">
        <v>27725304</v>
      </c>
      <c r="F24" s="14" t="s">
        <v>3</v>
      </c>
      <c r="G24" s="1"/>
    </row>
    <row r="25" spans="1:7" x14ac:dyDescent="0.25">
      <c r="A25" s="1"/>
      <c r="B25" s="59" t="s">
        <v>34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63" t="s">
        <v>254</v>
      </c>
      <c r="C26" s="64"/>
      <c r="D26" s="65"/>
      <c r="E26" s="45">
        <f>E23-(E24-E25)</f>
        <v>-427723.2094662413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247</v>
      </c>
      <c r="C29" s="115"/>
      <c r="D29" s="115"/>
      <c r="E29" s="115"/>
      <c r="F29" s="116"/>
      <c r="G29" s="1"/>
    </row>
    <row r="30" spans="1:7" x14ac:dyDescent="0.25">
      <c r="A30" s="1"/>
      <c r="B30" s="136" t="s">
        <v>248</v>
      </c>
      <c r="C30" s="137"/>
      <c r="D30" s="138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4"/>
      <c r="C31" s="115"/>
      <c r="D31" s="115"/>
      <c r="E31" s="115"/>
      <c r="F31" s="116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4" t="s">
        <v>249</v>
      </c>
      <c r="C33" s="115"/>
      <c r="D33" s="115"/>
      <c r="E33" s="115"/>
      <c r="F33" s="116"/>
      <c r="G33" s="1"/>
    </row>
    <row r="34" spans="1:7" x14ac:dyDescent="0.25">
      <c r="A34" s="1"/>
      <c r="B34" s="133" t="s">
        <v>255</v>
      </c>
      <c r="C34" s="134"/>
      <c r="D34" s="135"/>
      <c r="E34" s="9">
        <v>1</v>
      </c>
      <c r="F34" s="14"/>
      <c r="G34" s="1"/>
    </row>
    <row r="35" spans="1:7" x14ac:dyDescent="0.25">
      <c r="A35" s="1"/>
      <c r="B35" s="133" t="s">
        <v>161</v>
      </c>
      <c r="C35" s="134"/>
      <c r="D35" s="135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3" t="s">
        <v>110</v>
      </c>
      <c r="C36" s="134"/>
      <c r="D36" s="135"/>
      <c r="E36" s="9">
        <v>4</v>
      </c>
      <c r="F36" s="14" t="s">
        <v>19</v>
      </c>
      <c r="G36" s="1"/>
    </row>
    <row r="37" spans="1:7" x14ac:dyDescent="0.25">
      <c r="A37" s="1"/>
      <c r="B37" s="132" t="s">
        <v>160</v>
      </c>
      <c r="C37" s="132"/>
      <c r="D37" s="132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90" t="s">
        <v>253</v>
      </c>
      <c r="C39" s="91"/>
      <c r="D39" s="91"/>
      <c r="E39" s="91"/>
      <c r="F39" s="9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xNHBsiamvT97YRTunxYC09gaSb0kyOztDSfmgNtc5GoLsN0FAA/wkoNooSprODPfDVZR4hxr04imGSgxKVV+Q==" saltValue="jUk3TNxJ8gkpuVy3vg9bVg==" spinCount="100000" sheet="1" objects="1" scenarios="1"/>
  <mergeCells count="21">
    <mergeCell ref="B3:F4"/>
    <mergeCell ref="B17:D17"/>
    <mergeCell ref="B9:D9"/>
    <mergeCell ref="B29:F29"/>
    <mergeCell ref="B30:D30"/>
    <mergeCell ref="B38:F38"/>
    <mergeCell ref="B39:F39"/>
    <mergeCell ref="B37:D37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157</v>
      </c>
      <c r="C8" s="115"/>
      <c r="D8" s="115"/>
      <c r="E8" s="115"/>
      <c r="F8" s="115"/>
      <c r="G8" s="115"/>
      <c r="H8" s="11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8"/>
      <c r="I9" s="1"/>
    </row>
    <row r="10" spans="1:9" ht="26.25" x14ac:dyDescent="0.25">
      <c r="A10" s="1"/>
      <c r="B10" s="67" t="s">
        <v>228</v>
      </c>
      <c r="C10" s="68" t="s">
        <v>229</v>
      </c>
      <c r="D10" s="9">
        <v>795007.84</v>
      </c>
      <c r="E10" s="9">
        <f>IFERROR(D10/C10,0)</f>
        <v>53000.522666666664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4" t="s">
        <v>158</v>
      </c>
      <c r="C11" s="115"/>
      <c r="D11" s="116"/>
      <c r="E11" s="12">
        <f>SUM(E10:E10)</f>
        <v>53000.522666666664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djk5Jr4174PvSKNszV0swOUjgKslqVUW4FLrsfg4ijce3m8ZmiGRvhrCebhcvVjnbuSDb9RyH511PIz6P13HCw==" saltValue="VqF20K1iSFKCjZRLy4wiq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53000.522666666664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342864</v>
      </c>
      <c r="D11" s="14" t="s">
        <v>3</v>
      </c>
      <c r="E11" s="9">
        <v>87158</v>
      </c>
      <c r="F11" s="14" t="s">
        <v>3</v>
      </c>
      <c r="G11" s="1"/>
    </row>
    <row r="12" spans="1:7" x14ac:dyDescent="0.25">
      <c r="A12" s="1"/>
      <c r="B12" s="54" t="s">
        <v>136</v>
      </c>
      <c r="C12" s="12">
        <f>SUM(C10:C11)</f>
        <v>342864</v>
      </c>
      <c r="D12" s="13" t="s">
        <v>3</v>
      </c>
      <c r="E12" s="12">
        <f>SUM(E10:E11)</f>
        <v>140158.52266666666</v>
      </c>
      <c r="F12" s="13" t="s">
        <v>3</v>
      </c>
      <c r="G12" s="1"/>
    </row>
    <row r="13" spans="1:7" x14ac:dyDescent="0.25">
      <c r="A13" s="1"/>
      <c r="B13" s="54" t="s">
        <v>210</v>
      </c>
      <c r="C13" s="12">
        <f>C12*(1+'Fane 12. Nøgletal'!C14)</f>
        <v>343995.45120000001</v>
      </c>
      <c r="D13" s="13" t="s">
        <v>3</v>
      </c>
      <c r="E13" s="12">
        <f>E12*(1+'Fane 12. Nøgletal'!C14)</f>
        <v>140621.04579146666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aQGLRepa/TuK+3WbVHaWnRRQ0icJkDUTIvruKvNJSYffqfCaXphFH8N1NRpnESiPrkLpMpRZigfAx/ZP3bqMA==" saltValue="P3FO/rxJMyTRdyxNJ0N+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102</v>
      </c>
      <c r="C8" s="115"/>
      <c r="D8" s="115"/>
      <c r="E8" s="115"/>
      <c r="F8" s="116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250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4" t="s">
        <v>103</v>
      </c>
      <c r="C16" s="115"/>
      <c r="D16" s="115"/>
      <c r="E16" s="115"/>
      <c r="F16" s="116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48"/>
      <c r="G17" s="1"/>
    </row>
    <row r="18" spans="1:7" x14ac:dyDescent="0.25">
      <c r="A18" s="1"/>
      <c r="B18" s="25" t="s">
        <v>250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4" t="s">
        <v>138</v>
      </c>
      <c r="C24" s="115"/>
      <c r="D24" s="115"/>
      <c r="E24" s="115"/>
      <c r="F24" s="116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48"/>
      <c r="G25" s="1"/>
    </row>
    <row r="26" spans="1:7" x14ac:dyDescent="0.25">
      <c r="A26" s="1"/>
      <c r="B26" s="25" t="s">
        <v>250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4" t="s">
        <v>212</v>
      </c>
      <c r="C32" s="115"/>
      <c r="D32" s="115"/>
      <c r="E32" s="115"/>
      <c r="F32" s="116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48"/>
      <c r="G33" s="1"/>
    </row>
    <row r="34" spans="1:7" x14ac:dyDescent="0.25">
      <c r="A34" s="1"/>
      <c r="B34" s="25" t="s">
        <v>250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5KcH9f4eFHSy68k5Bm5xOcRsjZ8Eo5Yc1TUNbPNpjmYDb2hlu8WLiqEgFicGr6akA/zAgr47gUdkpKDmN1IHXw==" saltValue="UTdpoMIrW4GYngzt5z561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166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130</v>
      </c>
      <c r="C8" s="115"/>
      <c r="D8" s="115"/>
      <c r="E8" s="115"/>
      <c r="F8" s="116"/>
      <c r="G8" s="1"/>
    </row>
    <row r="9" spans="1:7" ht="15" customHeight="1" x14ac:dyDescent="0.25">
      <c r="A9" s="1"/>
      <c r="B9" s="47" t="s">
        <v>131</v>
      </c>
      <c r="C9" s="99" t="s">
        <v>11</v>
      </c>
      <c r="D9" s="101"/>
      <c r="E9" s="99" t="s">
        <v>32</v>
      </c>
      <c r="F9" s="101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viHlSURehpV6DPAViQp30pr6KakeUrX/ZXw2nblDWFxJYobS03d8kVfIbqpB+pSSbHxLN5XVEbaqv1ORQHsgRg==" saltValue="ipxX/hNkNaEeTRyXAxPcG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165</v>
      </c>
      <c r="C3" s="107"/>
      <c r="D3" s="107"/>
      <c r="E3" s="107"/>
      <c r="F3" s="107"/>
      <c r="G3" s="1"/>
    </row>
    <row r="4" spans="1:7" ht="25.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4" t="s">
        <v>98</v>
      </c>
      <c r="C8" s="115"/>
      <c r="D8" s="115"/>
      <c r="E8" s="115"/>
      <c r="F8" s="116"/>
      <c r="G8" s="1"/>
    </row>
    <row r="9" spans="1:7" ht="15" customHeight="1" x14ac:dyDescent="0.25">
      <c r="A9" s="1"/>
      <c r="B9" s="47" t="s">
        <v>17</v>
      </c>
      <c r="C9" s="47" t="s">
        <v>11</v>
      </c>
      <c r="D9" s="48"/>
      <c r="E9" s="47" t="s">
        <v>32</v>
      </c>
      <c r="F9" s="48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4" t="s">
        <v>99</v>
      </c>
      <c r="C15" s="115"/>
      <c r="D15" s="115"/>
      <c r="E15" s="115"/>
      <c r="F15" s="116"/>
      <c r="G15" s="1"/>
    </row>
    <row r="16" spans="1:7" ht="26.25" x14ac:dyDescent="0.25">
      <c r="A16" s="1"/>
      <c r="B16" s="47" t="s">
        <v>17</v>
      </c>
      <c r="C16" s="47" t="s">
        <v>11</v>
      </c>
      <c r="D16" s="48"/>
      <c r="E16" s="47" t="s">
        <v>32</v>
      </c>
      <c r="F16" s="48"/>
      <c r="G16" s="1"/>
    </row>
    <row r="17" spans="1:7" x14ac:dyDescent="0.2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4" t="s">
        <v>142</v>
      </c>
      <c r="C22" s="115"/>
      <c r="D22" s="115"/>
      <c r="E22" s="115"/>
      <c r="F22" s="116"/>
      <c r="G22" s="1"/>
    </row>
    <row r="23" spans="1:7" ht="26.25" x14ac:dyDescent="0.25">
      <c r="A23" s="1"/>
      <c r="B23" s="47" t="s">
        <v>17</v>
      </c>
      <c r="C23" s="47" t="s">
        <v>11</v>
      </c>
      <c r="D23" s="48"/>
      <c r="E23" s="47" t="s">
        <v>32</v>
      </c>
      <c r="F23" s="48"/>
      <c r="G23" s="1"/>
    </row>
    <row r="24" spans="1:7" x14ac:dyDescent="0.2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4" t="s">
        <v>215</v>
      </c>
      <c r="C29" s="115"/>
      <c r="D29" s="115"/>
      <c r="E29" s="115"/>
      <c r="F29" s="116"/>
      <c r="G29" s="1"/>
    </row>
    <row r="30" spans="1:7" ht="26.25" x14ac:dyDescent="0.25">
      <c r="A30" s="1"/>
      <c r="B30" s="47" t="s">
        <v>17</v>
      </c>
      <c r="C30" s="47" t="s">
        <v>11</v>
      </c>
      <c r="D30" s="48"/>
      <c r="E30" s="47" t="s">
        <v>32</v>
      </c>
      <c r="F30" s="48"/>
      <c r="G30" s="1"/>
    </row>
    <row r="31" spans="1:7" x14ac:dyDescent="0.2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BXYDcV4qvgeNleNfasQYPgCihdxlBYTb1+nqL37uCP0+8hhGXG9ce7XHIO1m8r3NJmydzPhnqnfAUArRJOlSIg==" saltValue="PN8NfL6EDGd+wWi8o0e0a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7" t="s">
        <v>164</v>
      </c>
      <c r="C3" s="107"/>
      <c r="D3" s="1"/>
    </row>
    <row r="4" spans="1:4" ht="25.5" customHeight="1" x14ac:dyDescent="0.25">
      <c r="A4" s="1"/>
      <c r="B4" s="107"/>
      <c r="C4" s="10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69">
        <v>3.3E-3</v>
      </c>
      <c r="D14" s="1"/>
    </row>
    <row r="15" spans="1:4" x14ac:dyDescent="0.25">
      <c r="A15" s="1"/>
      <c r="B15" s="114"/>
      <c r="C15" s="116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fSQ7kkPPa9KMTEr6cDGBuFduy40SQIqv3KSyxSndg4vo+4QCg78dsivMdZiVH1JMRUkB2I25yv9TWQ/aXwLEZQ==" saltValue="nwWPyB06t8gEHRRqHYZqC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0" t="s">
        <v>24</v>
      </c>
      <c r="C9" s="7">
        <f>'Fane 3. Omkostninger i ØR2021'!E20</f>
        <v>14643141.680935914</v>
      </c>
      <c r="D9" s="8" t="s">
        <v>3</v>
      </c>
      <c r="E9" s="1"/>
    </row>
    <row r="10" spans="1:5" x14ac:dyDescent="0.25">
      <c r="A10" s="1"/>
      <c r="B10" s="46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36321.033838223448</v>
      </c>
      <c r="D10" s="8" t="s">
        <v>3</v>
      </c>
      <c r="E10" s="1"/>
    </row>
    <row r="11" spans="1:5" x14ac:dyDescent="0.25">
      <c r="A11" s="1"/>
      <c r="B11" s="46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53365.368484288105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343995.45120000001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140621.04579146666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180245.56294748999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-115944.25817408071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-154243.0901823293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-233808.77037025872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14804007.622148201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47" t="s">
        <v>12</v>
      </c>
      <c r="C24" s="10">
        <f>'Fane 6. Ikke-påvirkelige omk.'!C16</f>
        <v>10713971.721691122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66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25517979.343839325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Sg7KuZ4QMccMvfcbwj2QCZ6ymu3CBbOs2ve96Wq4Fx2zGjNOCe+bC1OmjGcDxY6XFGiR1vsvuTS6nnyopwIulg==" saltValue="ueLsqcELg0RTLsB5jytrY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0" t="s">
        <v>134</v>
      </c>
      <c r="C9" s="7">
        <f>'Fane 2.1. Økonomisk ramme 2022'!C22</f>
        <v>14804007.622148201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48853.225153089064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-112496.9631477746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-151657.05053233239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-123742.57050167941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14464964.263119504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47" t="s">
        <v>12</v>
      </c>
      <c r="C18" s="10">
        <f>'Fane 6. Ikke-påvirkelige omk.'!C16*(1+'Fane 12. Nøgletal'!C14)</f>
        <v>10749327.828372704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66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25214292.091492206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pyHxO8npZSZhdhAMgacDY9VPixsZJcrwuufZPh9DbDn9el/N9HjHBXhBV0YBfCxeX1KJGZhmG7FN9mvJ+wECRA==" saltValue="mY+8WTyUJZTLlIbFe442O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135</v>
      </c>
      <c r="C8" s="7">
        <f>'Fane 2.2. Økonomisk ramme 2023'!C16</f>
        <v>14464964.263119504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47734.382068294362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-109920.54267842238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-149114.36842310731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-122313.4873537668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14131350.246732501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omk.'!C16*(1+'Fane 12. Nøgletal'!C14)^2</f>
        <v>10784800.610206334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24916150.856938835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/iqovZ384hcFwyO6wPWL8PpBcnsw3H/gcEaqimEtBWOY64XxqnP0uH/lthJ/hs5+cQ+7owcNp3PkhdeCPhp7+w==" saltValue="vtUdR1CXBIWXC1CC8+Zi8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189</v>
      </c>
      <c r="C8" s="7">
        <f>'Fane 2.3. Økonomisk ramme 2024'!C15</f>
        <v>14131350.246732501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46633.455814217254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-107385.38026396102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-146614.31692212549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-120900.90845847613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13803083.096902154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omk.'!C16*(1+'Fane 12. Nøgletal'!C14)^3</f>
        <v>10820390.452220017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24623473.54912217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aNSdi40s/EwL1WFV+30Qsw7nhS73I4ERWGcp8Lj0kSgcgejuj0gL7OS4aEUr4IF/qcmSXVhGc+QwG9r8MIc3lA==" saltValue="f5RdR0R8NWEgQ1HjYs/AS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7" t="s">
        <v>191</v>
      </c>
      <c r="C3" s="107"/>
      <c r="D3" s="107"/>
      <c r="E3" s="107"/>
      <c r="F3" s="107"/>
      <c r="G3" s="1"/>
    </row>
    <row r="4" spans="1:7" ht="29.25" customHeight="1" x14ac:dyDescent="0.25">
      <c r="A4" s="1"/>
      <c r="B4" s="107"/>
      <c r="C4" s="107"/>
      <c r="D4" s="107"/>
      <c r="E4" s="107"/>
      <c r="F4" s="10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108" t="s">
        <v>23</v>
      </c>
      <c r="C9" s="109"/>
      <c r="D9" s="110"/>
      <c r="E9" s="7">
        <v>14867721.146407045</v>
      </c>
      <c r="F9" s="8" t="s">
        <v>3</v>
      </c>
      <c r="G9" s="1"/>
    </row>
    <row r="10" spans="1:7" ht="15" customHeight="1" x14ac:dyDescent="0.25">
      <c r="A10" s="1"/>
      <c r="B10" s="93" t="s">
        <v>40</v>
      </c>
      <c r="C10" s="94"/>
      <c r="D10" s="95"/>
      <c r="E10" s="9">
        <v>36900.763200000001</v>
      </c>
      <c r="F10" s="8" t="s">
        <v>3</v>
      </c>
      <c r="G10" s="1"/>
    </row>
    <row r="11" spans="1:7" ht="15" customHeight="1" x14ac:dyDescent="0.25">
      <c r="A11" s="1"/>
      <c r="B11" s="93" t="s">
        <v>41</v>
      </c>
      <c r="C11" s="94"/>
      <c r="D11" s="95"/>
      <c r="E11" s="9">
        <v>54638.555999999997</v>
      </c>
      <c r="F11" s="8" t="s">
        <v>3</v>
      </c>
      <c r="G11" s="1"/>
    </row>
    <row r="12" spans="1:7" x14ac:dyDescent="0.25">
      <c r="A12" s="1"/>
      <c r="B12" s="93" t="s">
        <v>28</v>
      </c>
      <c r="C12" s="94"/>
      <c r="D12" s="95"/>
      <c r="E12" s="9">
        <v>0</v>
      </c>
      <c r="F12" s="8" t="s">
        <v>3</v>
      </c>
      <c r="G12" s="1"/>
    </row>
    <row r="13" spans="1:7" x14ac:dyDescent="0.25">
      <c r="A13" s="1"/>
      <c r="B13" s="93" t="s">
        <v>27</v>
      </c>
      <c r="C13" s="94"/>
      <c r="D13" s="95"/>
      <c r="E13" s="9">
        <v>0</v>
      </c>
      <c r="F13" s="8" t="s">
        <v>3</v>
      </c>
      <c r="G13" s="1"/>
    </row>
    <row r="14" spans="1:7" x14ac:dyDescent="0.25">
      <c r="A14" s="1"/>
      <c r="B14" s="93" t="s">
        <v>132</v>
      </c>
      <c r="C14" s="94"/>
      <c r="D14" s="95"/>
      <c r="E14" s="9">
        <v>0</v>
      </c>
      <c r="F14" s="8" t="s">
        <v>3</v>
      </c>
      <c r="G14" s="1"/>
    </row>
    <row r="15" spans="1:7" x14ac:dyDescent="0.25">
      <c r="A15" s="1"/>
      <c r="B15" s="93" t="s">
        <v>133</v>
      </c>
      <c r="C15" s="94"/>
      <c r="D15" s="95"/>
      <c r="E15" s="9">
        <v>0</v>
      </c>
      <c r="F15" s="8" t="s">
        <v>3</v>
      </c>
      <c r="G15" s="1"/>
    </row>
    <row r="16" spans="1:7" x14ac:dyDescent="0.25">
      <c r="A16" s="1"/>
      <c r="B16" s="93" t="s">
        <v>18</v>
      </c>
      <c r="C16" s="94"/>
      <c r="D16" s="95"/>
      <c r="E16" s="9">
        <v>182502.97768040595</v>
      </c>
      <c r="F16" s="8" t="s">
        <v>3</v>
      </c>
      <c r="G16" s="1"/>
    </row>
    <row r="17" spans="1:7" x14ac:dyDescent="0.25">
      <c r="A17" s="1"/>
      <c r="B17" s="93" t="s">
        <v>9</v>
      </c>
      <c r="C17" s="94"/>
      <c r="D17" s="95"/>
      <c r="E17" s="9">
        <v>-114685.13854563789</v>
      </c>
      <c r="F17" s="8" t="s">
        <v>3</v>
      </c>
      <c r="G17" s="1"/>
    </row>
    <row r="18" spans="1:7" x14ac:dyDescent="0.25">
      <c r="A18" s="1"/>
      <c r="B18" s="93" t="s">
        <v>25</v>
      </c>
      <c r="C18" s="94"/>
      <c r="D18" s="95"/>
      <c r="E18" s="9">
        <v>-148535.29537454294</v>
      </c>
      <c r="F18" s="8" t="s">
        <v>3</v>
      </c>
      <c r="G18" s="1"/>
    </row>
    <row r="19" spans="1:7" x14ac:dyDescent="0.25">
      <c r="A19" s="1"/>
      <c r="B19" s="93" t="s">
        <v>26</v>
      </c>
      <c r="C19" s="94"/>
      <c r="D19" s="95"/>
      <c r="E19" s="9">
        <v>-235401.32843135705</v>
      </c>
      <c r="F19" s="8" t="s">
        <v>3</v>
      </c>
      <c r="G19" s="1"/>
    </row>
    <row r="20" spans="1:7" x14ac:dyDescent="0.25">
      <c r="A20" s="1"/>
      <c r="B20" s="96" t="s">
        <v>20</v>
      </c>
      <c r="C20" s="97"/>
      <c r="D20" s="98"/>
      <c r="E20" s="10">
        <f>SUM(E9:E19)</f>
        <v>14643141.680935914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4" t="s">
        <v>12</v>
      </c>
      <c r="C22" s="105"/>
      <c r="D22" s="106"/>
      <c r="E22" s="10">
        <v>11580275.838462962</v>
      </c>
      <c r="F22" s="11" t="s">
        <v>3</v>
      </c>
      <c r="G22" s="1"/>
    </row>
    <row r="23" spans="1:7" ht="15" customHeight="1" x14ac:dyDescent="0.25">
      <c r="A23" s="1"/>
      <c r="B23" s="102" t="s">
        <v>89</v>
      </c>
      <c r="C23" s="103"/>
      <c r="D23" s="103"/>
      <c r="E23" s="55"/>
      <c r="F23" s="55"/>
      <c r="G23" s="1"/>
    </row>
    <row r="24" spans="1:7" ht="14.25" customHeight="1" x14ac:dyDescent="0.25">
      <c r="A24" s="1"/>
      <c r="B24" s="90" t="s">
        <v>85</v>
      </c>
      <c r="C24" s="91"/>
      <c r="D24" s="92"/>
      <c r="E24" s="9">
        <v>30595.07746008</v>
      </c>
      <c r="F24" s="8" t="s">
        <v>3</v>
      </c>
      <c r="G24" s="1"/>
    </row>
    <row r="25" spans="1:7" ht="14.25" customHeight="1" x14ac:dyDescent="0.25">
      <c r="A25" s="1"/>
      <c r="B25" s="90" t="s">
        <v>86</v>
      </c>
      <c r="C25" s="91"/>
      <c r="D25" s="92"/>
      <c r="E25" s="9">
        <v>0</v>
      </c>
      <c r="F25" s="8" t="s">
        <v>3</v>
      </c>
      <c r="G25" s="1"/>
    </row>
    <row r="26" spans="1:7" x14ac:dyDescent="0.25">
      <c r="A26" s="1"/>
      <c r="B26" s="99" t="s">
        <v>90</v>
      </c>
      <c r="C26" s="100"/>
      <c r="D26" s="100"/>
      <c r="E26" s="10">
        <v>29751.445920480266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99" t="s">
        <v>162</v>
      </c>
      <c r="C28" s="100"/>
      <c r="D28" s="101"/>
      <c r="E28" s="10">
        <v>0</v>
      </c>
      <c r="F28" s="11" t="s">
        <v>3</v>
      </c>
      <c r="G28" s="1"/>
    </row>
    <row r="29" spans="1:7" x14ac:dyDescent="0.25">
      <c r="A29" s="1"/>
      <c r="B29" s="54" t="s">
        <v>251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4" t="s">
        <v>252</v>
      </c>
      <c r="C30" s="105"/>
      <c r="D30" s="106"/>
      <c r="E30" s="10">
        <v>122.3129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26253291.278219353</v>
      </c>
      <c r="F31" s="13" t="s">
        <v>3</v>
      </c>
      <c r="G31" s="1"/>
    </row>
    <row r="32" spans="1:7" ht="27.75" customHeight="1" x14ac:dyDescent="0.25">
      <c r="A32" s="1"/>
      <c r="B32" s="90" t="s">
        <v>192</v>
      </c>
      <c r="C32" s="91"/>
      <c r="D32" s="91"/>
      <c r="E32" s="91"/>
      <c r="F32" s="9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K8BWA/YMadIV7mOOjnZGTsAVzKsUByVQxcPwIzs5tV8APluuLC/JUPfzEyhgE4gAgqpzTwuj1xJzebCHoL13A==" saltValue="dGbh3tSA5PW3WmPunDbLYw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7" t="s">
        <v>115</v>
      </c>
      <c r="C1" s="107"/>
      <c r="D1" s="107"/>
      <c r="E1" s="107"/>
      <c r="F1" s="107"/>
      <c r="G1" s="107"/>
      <c r="H1" s="107"/>
      <c r="I1" s="1"/>
    </row>
    <row r="2" spans="1:9" ht="15" customHeight="1" x14ac:dyDescent="0.25">
      <c r="A2" s="1"/>
      <c r="B2" s="107"/>
      <c r="C2" s="107"/>
      <c r="D2" s="107"/>
      <c r="E2" s="107"/>
      <c r="F2" s="107"/>
      <c r="G2" s="107"/>
      <c r="H2" s="107"/>
      <c r="I2" s="1"/>
    </row>
    <row r="3" spans="1:9" ht="15" customHeight="1" x14ac:dyDescent="0.25">
      <c r="A3" s="1"/>
      <c r="B3" s="107"/>
      <c r="C3" s="107"/>
      <c r="D3" s="107"/>
      <c r="E3" s="107"/>
      <c r="F3" s="107"/>
      <c r="G3" s="107"/>
      <c r="H3" s="107"/>
      <c r="I3" s="1"/>
    </row>
    <row r="4" spans="1:9" x14ac:dyDescent="0.25">
      <c r="A4" s="1"/>
      <c r="B4" s="114" t="s">
        <v>54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43</v>
      </c>
      <c r="C5" s="112"/>
      <c r="D5" s="112"/>
      <c r="E5" s="112"/>
      <c r="F5" s="113"/>
      <c r="G5" s="24">
        <v>7226320</v>
      </c>
      <c r="H5" s="14" t="s">
        <v>3</v>
      </c>
      <c r="I5" s="1"/>
    </row>
    <row r="6" spans="1:9" x14ac:dyDescent="0.25">
      <c r="A6" s="1"/>
      <c r="B6" s="111" t="s">
        <v>44</v>
      </c>
      <c r="C6" s="112"/>
      <c r="D6" s="112"/>
      <c r="E6" s="112"/>
      <c r="F6" s="113"/>
      <c r="G6" s="24">
        <f>G5*'Fane 12. Nøgletal'!C29</f>
        <v>144526.39999999999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55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45</v>
      </c>
      <c r="C10" s="112"/>
      <c r="D10" s="112"/>
      <c r="E10" s="112"/>
      <c r="F10" s="113"/>
      <c r="G10" s="24">
        <f>(G5-G6)*(1+'Fane 12. Nøgletal'!C9)</f>
        <v>7171732.3787199995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24">
        <v>0</v>
      </c>
      <c r="H11" s="14" t="s">
        <v>3</v>
      </c>
      <c r="I11" s="1"/>
    </row>
    <row r="12" spans="1:9" x14ac:dyDescent="0.25">
      <c r="A12" s="1"/>
      <c r="B12" s="111" t="s">
        <v>47</v>
      </c>
      <c r="C12" s="112"/>
      <c r="D12" s="112"/>
      <c r="E12" s="112"/>
      <c r="F12" s="113"/>
      <c r="G12" s="24">
        <f>(G10+G11)*'Fane 12. Nøgletal'!C29</f>
        <v>143434.64757440001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56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48</v>
      </c>
      <c r="C16" s="112"/>
      <c r="D16" s="112"/>
      <c r="E16" s="112"/>
      <c r="F16" s="113"/>
      <c r="G16" s="24">
        <f>(G10+G11-G12)*(1+'Fane 12. Nøgletal'!C11)</f>
        <v>7147075.9628019603</v>
      </c>
      <c r="H16" s="14" t="s">
        <v>3</v>
      </c>
      <c r="I16" s="1"/>
    </row>
    <row r="17" spans="1:9" x14ac:dyDescent="0.25">
      <c r="A17" s="1"/>
      <c r="B17" s="111" t="s">
        <v>125</v>
      </c>
      <c r="C17" s="112"/>
      <c r="D17" s="112"/>
      <c r="E17" s="112"/>
      <c r="F17" s="113"/>
      <c r="G17" s="24">
        <v>141396.11053986137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24">
        <v>98128.519875339975</v>
      </c>
      <c r="H18" s="14" t="s">
        <v>3</v>
      </c>
      <c r="I18" s="1"/>
    </row>
    <row r="19" spans="1:9" x14ac:dyDescent="0.25">
      <c r="A19" s="1"/>
      <c r="B19" s="111" t="s">
        <v>50</v>
      </c>
      <c r="C19" s="112"/>
      <c r="D19" s="112"/>
      <c r="E19" s="112"/>
      <c r="F19" s="113"/>
      <c r="G19" s="24">
        <f>SUM(G16:G18)*'Fane 12. Nøgletal'!C29</f>
        <v>147732.01186434322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57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51</v>
      </c>
      <c r="C23" s="112"/>
      <c r="D23" s="112"/>
      <c r="E23" s="112"/>
      <c r="F23" s="113"/>
      <c r="G23" s="24">
        <f>(SUM(G16:G18)-G19)*(1+'Fane 12. Nøgletal'!C11)</f>
        <v>7361205.4603776801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24">
        <v>88130.816852465738</v>
      </c>
      <c r="H24" s="14" t="s">
        <v>3</v>
      </c>
      <c r="I24" s="1"/>
    </row>
    <row r="25" spans="1:9" x14ac:dyDescent="0.25">
      <c r="A25" s="1"/>
      <c r="B25" s="111" t="s">
        <v>53</v>
      </c>
      <c r="C25" s="112"/>
      <c r="D25" s="112"/>
      <c r="E25" s="112"/>
      <c r="F25" s="113"/>
      <c r="G25" s="24">
        <f>(G23+G24)*'Fane 12. Nøgletal'!C29</f>
        <v>148986.7255446029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175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60</v>
      </c>
      <c r="C29" s="112"/>
      <c r="D29" s="112"/>
      <c r="E29" s="112"/>
      <c r="F29" s="113"/>
      <c r="G29" s="24">
        <f>(G23+G24-G25)*(1+'Fane 12. Nøgletal'!C13)</f>
        <v>7389413.8162161065</v>
      </c>
      <c r="H29" s="14" t="s">
        <v>3</v>
      </c>
      <c r="I29" s="1"/>
    </row>
    <row r="30" spans="1:9" x14ac:dyDescent="0.25">
      <c r="A30" s="1"/>
      <c r="B30" s="111" t="s">
        <v>147</v>
      </c>
      <c r="C30" s="112"/>
      <c r="D30" s="112"/>
      <c r="E30" s="112"/>
      <c r="F30" s="113"/>
      <c r="G30" s="24">
        <f>SUM('Fane 3. Omkostninger i ØR2021'!E10,'Fane 3. Omkostninger i ØR2021'!E12,'Fane 3. Omkostninger i ØR2021'!E14)*(1+'Fane 12. Nøgletal'!C13)</f>
        <v>37350.952511039999</v>
      </c>
      <c r="H30" s="14" t="s">
        <v>3</v>
      </c>
      <c r="I30" s="1"/>
    </row>
    <row r="31" spans="1:9" x14ac:dyDescent="0.25">
      <c r="A31" s="1"/>
      <c r="B31" s="111" t="s">
        <v>159</v>
      </c>
      <c r="C31" s="112"/>
      <c r="D31" s="112"/>
      <c r="E31" s="112"/>
      <c r="F31" s="113"/>
      <c r="G31" s="24">
        <f>(G29+G30)*'Fane 12. Nøgletal'!C29</f>
        <v>148535.29537454291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176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80</v>
      </c>
      <c r="C35" s="112"/>
      <c r="D35" s="112"/>
      <c r="E35" s="112"/>
      <c r="F35" s="113"/>
      <c r="G35" s="24">
        <f>(G29+G30-G31)*(1+'Fane 12. Nøgletal'!C13)</f>
        <v>7367023.8729275055</v>
      </c>
      <c r="H35" s="14" t="s">
        <v>3</v>
      </c>
      <c r="I35" s="1"/>
    </row>
    <row r="36" spans="1:9" x14ac:dyDescent="0.25">
      <c r="A36" s="1"/>
      <c r="B36" s="37" t="s">
        <v>193</v>
      </c>
      <c r="C36" s="60"/>
      <c r="D36" s="60"/>
      <c r="E36" s="60"/>
      <c r="F36" s="61"/>
      <c r="G36" s="24">
        <f>SUM('Fane 2.1. Økonomisk ramme 2022'!C10)*(1+'Fane 12. Nøgletal'!C14)</f>
        <v>36440.893249889588</v>
      </c>
      <c r="H36" s="14" t="s">
        <v>3</v>
      </c>
      <c r="I36" s="1"/>
    </row>
    <row r="37" spans="1:9" x14ac:dyDescent="0.25">
      <c r="A37" s="1"/>
      <c r="B37" s="111" t="s">
        <v>222</v>
      </c>
      <c r="C37" s="112"/>
      <c r="D37" s="112"/>
      <c r="E37" s="112"/>
      <c r="F37" s="113"/>
      <c r="G37" s="24">
        <f>SUM('Fane 2.1. Økonomisk ramme 2022'!C12,'Fane 2.1. Økonomisk ramme 2022'!C14,'Fane 2.1. Økonomisk ramme 2022'!C16)*(1+'Fane 12. Nøgletal'!C14)</f>
        <v>345130.63618896005</v>
      </c>
      <c r="H37" s="14" t="s">
        <v>3</v>
      </c>
      <c r="I37" s="1"/>
    </row>
    <row r="38" spans="1:9" x14ac:dyDescent="0.25">
      <c r="A38" s="1"/>
      <c r="B38" s="111" t="s">
        <v>177</v>
      </c>
      <c r="C38" s="112"/>
      <c r="D38" s="112"/>
      <c r="E38" s="112"/>
      <c r="F38" s="113"/>
      <c r="G38" s="24">
        <f>(G35+G37)*'Fane 12. Nøgletal'!C29</f>
        <v>154243.0901823293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81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79</v>
      </c>
      <c r="C42" s="112"/>
      <c r="D42" s="112"/>
      <c r="E42" s="112"/>
      <c r="F42" s="113"/>
      <c r="G42" s="24">
        <f>(G35+G37-G38)*(1+'Fane 12. Nøgletal'!C14)</f>
        <v>7582852.526616619</v>
      </c>
      <c r="H42" s="14" t="s">
        <v>3</v>
      </c>
      <c r="I42" s="1"/>
    </row>
    <row r="43" spans="1:9" x14ac:dyDescent="0.25">
      <c r="A43" s="1"/>
      <c r="B43" s="111" t="s">
        <v>92</v>
      </c>
      <c r="C43" s="112"/>
      <c r="D43" s="112"/>
      <c r="E43" s="112"/>
      <c r="F43" s="113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1" t="s">
        <v>61</v>
      </c>
      <c r="C44" s="112"/>
      <c r="D44" s="112"/>
      <c r="E44" s="112"/>
      <c r="F44" s="113"/>
      <c r="G44" s="24">
        <f>(G42+G43)*'Fane 12. Nøgletal'!C29</f>
        <v>151657.05053233239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148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149</v>
      </c>
      <c r="C48" s="112"/>
      <c r="D48" s="112"/>
      <c r="E48" s="112"/>
      <c r="F48" s="113"/>
      <c r="G48" s="24">
        <f>(G42+G43-G44)*(1+'Fane 12. Nøgletal'!C14)</f>
        <v>7455718.4211553652</v>
      </c>
      <c r="H48" s="14" t="s">
        <v>3</v>
      </c>
      <c r="I48" s="1"/>
    </row>
    <row r="49" spans="1:9" x14ac:dyDescent="0.25">
      <c r="A49" s="1"/>
      <c r="B49" s="111" t="s">
        <v>150</v>
      </c>
      <c r="C49" s="112"/>
      <c r="D49" s="112"/>
      <c r="E49" s="112"/>
      <c r="F49" s="113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1" t="s">
        <v>151</v>
      </c>
      <c r="C50" s="112"/>
      <c r="D50" s="112"/>
      <c r="E50" s="112"/>
      <c r="F50" s="113"/>
      <c r="G50" s="24">
        <f>(G48+G49)*'Fane 12. Nøgletal'!C29</f>
        <v>149114.36842310731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199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200</v>
      </c>
      <c r="C54" s="112"/>
      <c r="D54" s="112"/>
      <c r="E54" s="112"/>
      <c r="F54" s="113"/>
      <c r="G54" s="24">
        <f>(G48+G49-G50)*(1+'Fane 12. Nøgletal'!C14)</f>
        <v>7330715.846106275</v>
      </c>
      <c r="H54" s="14" t="s">
        <v>3</v>
      </c>
      <c r="I54" s="1"/>
    </row>
    <row r="55" spans="1:9" x14ac:dyDescent="0.25">
      <c r="A55" s="1"/>
      <c r="B55" s="111" t="s">
        <v>201</v>
      </c>
      <c r="C55" s="112"/>
      <c r="D55" s="112"/>
      <c r="E55" s="112"/>
      <c r="F55" s="113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1" t="s">
        <v>202</v>
      </c>
      <c r="C56" s="112"/>
      <c r="D56" s="112"/>
      <c r="E56" s="112"/>
      <c r="F56" s="113"/>
      <c r="G56" s="24">
        <f>(G54+G55)*'Fane 12. Nøgletal'!C29</f>
        <v>146614.31692212549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ZnUpM4IehSk3m1o8XjYpCmcwSBixCKU/YVbeKBSfz8DyeG2LJX8/XEdJRz3KT3HRXf1L3JdwB6ESq0kVMNv++w==" saltValue="grO/Arm4sezemin7sWAsW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4" t="s">
        <v>58</v>
      </c>
      <c r="C4" s="115"/>
      <c r="D4" s="115"/>
      <c r="E4" s="115"/>
      <c r="F4" s="115"/>
      <c r="G4" s="115"/>
      <c r="H4" s="116"/>
      <c r="I4" s="1"/>
    </row>
    <row r="5" spans="1:9" x14ac:dyDescent="0.25">
      <c r="A5" s="1"/>
      <c r="B5" s="111" t="s">
        <v>62</v>
      </c>
      <c r="C5" s="112"/>
      <c r="D5" s="112"/>
      <c r="E5" s="112"/>
      <c r="F5" s="113"/>
      <c r="G5" s="24">
        <v>8223612</v>
      </c>
      <c r="H5" s="14" t="s">
        <v>3</v>
      </c>
      <c r="I5" s="1"/>
    </row>
    <row r="6" spans="1:9" x14ac:dyDescent="0.25">
      <c r="A6" s="1"/>
      <c r="B6" s="111" t="s">
        <v>59</v>
      </c>
      <c r="C6" s="112"/>
      <c r="D6" s="112"/>
      <c r="E6" s="112"/>
      <c r="F6" s="113"/>
      <c r="G6" s="24">
        <f>G5*'Fane 12. Nøgletal'!C19</f>
        <v>74834.869200000001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4" t="s">
        <v>63</v>
      </c>
      <c r="C9" s="115"/>
      <c r="D9" s="115"/>
      <c r="E9" s="115"/>
      <c r="F9" s="115"/>
      <c r="G9" s="115"/>
      <c r="H9" s="116"/>
      <c r="I9" s="1"/>
    </row>
    <row r="10" spans="1:9" x14ac:dyDescent="0.25">
      <c r="A10" s="1"/>
      <c r="B10" s="111" t="s">
        <v>64</v>
      </c>
      <c r="C10" s="112"/>
      <c r="D10" s="112"/>
      <c r="E10" s="112"/>
      <c r="F10" s="113"/>
      <c r="G10" s="24">
        <f>(G5-G6)*(1+'Fane 12. Nøgletal'!C9)</f>
        <v>8252266.60036116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24">
        <v>0</v>
      </c>
      <c r="H11" s="14" t="s">
        <v>3</v>
      </c>
      <c r="I11" s="1"/>
    </row>
    <row r="12" spans="1:9" x14ac:dyDescent="0.25">
      <c r="A12" s="1"/>
      <c r="B12" s="111" t="s">
        <v>66</v>
      </c>
      <c r="C12" s="112"/>
      <c r="D12" s="112"/>
      <c r="E12" s="112"/>
      <c r="F12" s="113"/>
      <c r="G12" s="24">
        <f>G10*'Fane 12. Nøgletal'!C19+G11*'Fane 12. Nøgletal'!C20</f>
        <v>75095.62606328656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4" t="s">
        <v>67</v>
      </c>
      <c r="C15" s="115"/>
      <c r="D15" s="115"/>
      <c r="E15" s="115"/>
      <c r="F15" s="115"/>
      <c r="G15" s="115"/>
      <c r="H15" s="116"/>
      <c r="I15" s="1"/>
    </row>
    <row r="16" spans="1:9" x14ac:dyDescent="0.25">
      <c r="A16" s="1"/>
      <c r="B16" s="111" t="s">
        <v>68</v>
      </c>
      <c r="C16" s="112"/>
      <c r="D16" s="112"/>
      <c r="E16" s="112"/>
      <c r="F16" s="113"/>
      <c r="G16" s="24">
        <f>(G10+G11-G12)*(1+'Fane 12. Nøgletal'!C11)</f>
        <v>8315365.1637635073</v>
      </c>
      <c r="H16" s="14" t="s">
        <v>3</v>
      </c>
      <c r="I16" s="1"/>
    </row>
    <row r="17" spans="1:9" x14ac:dyDescent="0.25">
      <c r="A17" s="1"/>
      <c r="B17" s="111" t="s">
        <v>126</v>
      </c>
      <c r="C17" s="112"/>
      <c r="D17" s="112"/>
      <c r="E17" s="112"/>
      <c r="F17" s="113"/>
      <c r="G17" s="24">
        <v>71285.390610433227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0</v>
      </c>
      <c r="H18" s="14" t="s">
        <v>3</v>
      </c>
      <c r="I18" s="1"/>
    </row>
    <row r="19" spans="1:9" x14ac:dyDescent="0.25">
      <c r="A19" s="1"/>
      <c r="B19" s="111" t="s">
        <v>70</v>
      </c>
      <c r="C19" s="112"/>
      <c r="D19" s="112"/>
      <c r="E19" s="112"/>
      <c r="F19" s="113"/>
      <c r="G19" s="24">
        <f>(G16+G17+G18)*'Fane 12. Nøgletal'!C21</f>
        <v>72963.859823053281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4" t="s">
        <v>71</v>
      </c>
      <c r="C22" s="115"/>
      <c r="D22" s="115"/>
      <c r="E22" s="115"/>
      <c r="F22" s="115"/>
      <c r="G22" s="115"/>
      <c r="H22" s="116"/>
      <c r="I22" s="1"/>
    </row>
    <row r="23" spans="1:9" x14ac:dyDescent="0.25">
      <c r="A23" s="1"/>
      <c r="B23" s="111" t="s">
        <v>72</v>
      </c>
      <c r="C23" s="112"/>
      <c r="D23" s="112"/>
      <c r="E23" s="112"/>
      <c r="F23" s="113"/>
      <c r="G23" s="24">
        <f>(SUM(G16:G18)-G19)*(1+'Fane 12. Nøgletal'!C11)</f>
        <v>8454187.9996887967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22230.669364200003</v>
      </c>
      <c r="H24" s="14" t="s">
        <v>3</v>
      </c>
      <c r="I24" s="1"/>
    </row>
    <row r="25" spans="1:9" x14ac:dyDescent="0.25">
      <c r="A25" s="1"/>
      <c r="B25" s="111" t="s">
        <v>74</v>
      </c>
      <c r="C25" s="112"/>
      <c r="D25" s="112"/>
      <c r="E25" s="112"/>
      <c r="F25" s="113"/>
      <c r="G25" s="24">
        <f>G23*'Fane 12. Nøgletal'!C21+G24*'Fane 12. Nøgletal'!C22</f>
        <v>74182.786607235801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4" t="s">
        <v>173</v>
      </c>
      <c r="C28" s="115"/>
      <c r="D28" s="115"/>
      <c r="E28" s="115"/>
      <c r="F28" s="115"/>
      <c r="G28" s="115"/>
      <c r="H28" s="116"/>
      <c r="I28" s="1"/>
    </row>
    <row r="29" spans="1:9" x14ac:dyDescent="0.25">
      <c r="A29" s="1"/>
      <c r="B29" s="111" t="s">
        <v>75</v>
      </c>
      <c r="C29" s="112"/>
      <c r="D29" s="112"/>
      <c r="E29" s="112"/>
      <c r="F29" s="113"/>
      <c r="G29" s="24">
        <f>(G23+G24-G25)*(1+'Fane 12. Nøgletal'!C13)</f>
        <v>8504743.1602116004</v>
      </c>
      <c r="H29" s="14" t="s">
        <v>3</v>
      </c>
      <c r="I29" s="1"/>
    </row>
    <row r="30" spans="1:9" x14ac:dyDescent="0.25">
      <c r="A30" s="1"/>
      <c r="B30" s="111" t="s">
        <v>152</v>
      </c>
      <c r="C30" s="112"/>
      <c r="D30" s="112"/>
      <c r="E30" s="112"/>
      <c r="F30" s="113"/>
      <c r="G30" s="24">
        <v>55305.146383199994</v>
      </c>
      <c r="H30" s="14" t="s">
        <v>3</v>
      </c>
      <c r="I30" s="1"/>
    </row>
    <row r="31" spans="1:9" x14ac:dyDescent="0.25">
      <c r="A31" s="1"/>
      <c r="B31" s="111" t="s">
        <v>174</v>
      </c>
      <c r="C31" s="112"/>
      <c r="D31" s="112"/>
      <c r="E31" s="112"/>
      <c r="F31" s="113"/>
      <c r="G31" s="24">
        <f>(G29+G30)*'Fane 12. Nøgletal'!C23</f>
        <v>235401.32843135702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4" t="s">
        <v>178</v>
      </c>
      <c r="C34" s="115"/>
      <c r="D34" s="115"/>
      <c r="E34" s="115"/>
      <c r="F34" s="115"/>
      <c r="G34" s="115"/>
      <c r="H34" s="116"/>
      <c r="I34" s="1"/>
    </row>
    <row r="35" spans="1:9" x14ac:dyDescent="0.25">
      <c r="A35" s="1"/>
      <c r="B35" s="111" t="s">
        <v>78</v>
      </c>
      <c r="C35" s="112"/>
      <c r="D35" s="112"/>
      <c r="E35" s="112"/>
      <c r="F35" s="113"/>
      <c r="G35" s="24">
        <f>(G29+G30-G31)*(1+'Fane 12. Nøgletal'!C13)</f>
        <v>8426207.671297038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53541.474200286262</v>
      </c>
      <c r="H36" s="14" t="s">
        <v>3</v>
      </c>
      <c r="I36" s="38"/>
    </row>
    <row r="37" spans="1:9" x14ac:dyDescent="0.25">
      <c r="A37" s="1"/>
      <c r="B37" s="111" t="s">
        <v>194</v>
      </c>
      <c r="C37" s="112"/>
      <c r="D37" s="112"/>
      <c r="E37" s="112"/>
      <c r="F37" s="113"/>
      <c r="G37" s="24">
        <f>SUM('Fane 2.1. Økonomisk ramme 2022'!C13,'Fane 2.1. Økonomisk ramme 2022'!C15,'Fane 2.1. Økonomisk ramme 2022'!C17)*(1+'Fane 12. Nøgletal'!C14)</f>
        <v>141085.09524257851</v>
      </c>
      <c r="H37" s="14" t="s">
        <v>3</v>
      </c>
      <c r="I37" s="1"/>
    </row>
    <row r="38" spans="1:9" x14ac:dyDescent="0.25">
      <c r="A38" s="1"/>
      <c r="B38" s="111" t="s">
        <v>179</v>
      </c>
      <c r="C38" s="112"/>
      <c r="D38" s="112"/>
      <c r="E38" s="112"/>
      <c r="F38" s="113"/>
      <c r="G38" s="24">
        <f>G35*'Fane 12. Nøgletal'!C23+G37*'Fane 12. Nøgletal'!C24</f>
        <v>233808.77037025872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4" t="s">
        <v>82</v>
      </c>
      <c r="C41" s="115"/>
      <c r="D41" s="115"/>
      <c r="E41" s="115"/>
      <c r="F41" s="115"/>
      <c r="G41" s="115"/>
      <c r="H41" s="116"/>
      <c r="I41" s="1"/>
    </row>
    <row r="42" spans="1:9" x14ac:dyDescent="0.25">
      <c r="A42" s="1"/>
      <c r="B42" s="111" t="s">
        <v>77</v>
      </c>
      <c r="C42" s="112"/>
      <c r="D42" s="112"/>
      <c r="E42" s="112"/>
      <c r="F42" s="113"/>
      <c r="G42" s="24">
        <f>(G35+G37-G38)*(1+'Fane 12. Nøgletal'!C14)</f>
        <v>8360984.4933567168</v>
      </c>
      <c r="H42" s="14" t="s">
        <v>3</v>
      </c>
      <c r="I42" s="1"/>
    </row>
    <row r="43" spans="1:9" x14ac:dyDescent="0.25">
      <c r="A43" s="1"/>
      <c r="B43" s="111" t="s">
        <v>96</v>
      </c>
      <c r="C43" s="112"/>
      <c r="D43" s="112"/>
      <c r="E43" s="112"/>
      <c r="F43" s="113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1" t="s">
        <v>76</v>
      </c>
      <c r="C44" s="112"/>
      <c r="D44" s="112"/>
      <c r="E44" s="112"/>
      <c r="F44" s="113"/>
      <c r="G44" s="24">
        <f>(G42+G43)*'Fane 12. Nøgletal'!C24</f>
        <v>123742.57050167941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4" t="s">
        <v>153</v>
      </c>
      <c r="C47" s="115"/>
      <c r="D47" s="115"/>
      <c r="E47" s="115"/>
      <c r="F47" s="115"/>
      <c r="G47" s="115"/>
      <c r="H47" s="116"/>
      <c r="I47" s="1"/>
    </row>
    <row r="48" spans="1:9" x14ac:dyDescent="0.25">
      <c r="A48" s="1"/>
      <c r="B48" s="111" t="s">
        <v>154</v>
      </c>
      <c r="C48" s="112"/>
      <c r="D48" s="112"/>
      <c r="E48" s="112"/>
      <c r="F48" s="113"/>
      <c r="G48" s="24">
        <f>(G42+G43-G44)*(1+'Fane 12. Nøgletal'!C14)</f>
        <v>8264424.8212004593</v>
      </c>
      <c r="H48" s="14" t="s">
        <v>3</v>
      </c>
      <c r="I48" s="1"/>
    </row>
    <row r="49" spans="1:9" x14ac:dyDescent="0.25">
      <c r="A49" s="1"/>
      <c r="B49" s="111" t="s">
        <v>155</v>
      </c>
      <c r="C49" s="112"/>
      <c r="D49" s="112"/>
      <c r="E49" s="112"/>
      <c r="F49" s="113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1" t="s">
        <v>156</v>
      </c>
      <c r="C50" s="112"/>
      <c r="D50" s="112"/>
      <c r="E50" s="112"/>
      <c r="F50" s="113"/>
      <c r="G50" s="24">
        <f>(G48+G49)*'Fane 12. Nøgletal'!C24</f>
        <v>122313.4873537668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4" t="s">
        <v>195</v>
      </c>
      <c r="C53" s="115"/>
      <c r="D53" s="115"/>
      <c r="E53" s="115"/>
      <c r="F53" s="115"/>
      <c r="G53" s="115"/>
      <c r="H53" s="116"/>
      <c r="I53" s="1"/>
    </row>
    <row r="54" spans="1:9" x14ac:dyDescent="0.25">
      <c r="A54" s="1"/>
      <c r="B54" s="111" t="s">
        <v>196</v>
      </c>
      <c r="C54" s="112"/>
      <c r="D54" s="112"/>
      <c r="E54" s="112"/>
      <c r="F54" s="113"/>
      <c r="G54" s="24">
        <f>(G48+G49-G50)*(1+'Fane 12. Nøgletal'!C14)</f>
        <v>8168980.3012483865</v>
      </c>
      <c r="H54" s="14" t="s">
        <v>3</v>
      </c>
      <c r="I54" s="1"/>
    </row>
    <row r="55" spans="1:9" x14ac:dyDescent="0.25">
      <c r="A55" s="1"/>
      <c r="B55" s="111" t="s">
        <v>197</v>
      </c>
      <c r="C55" s="112"/>
      <c r="D55" s="112"/>
      <c r="E55" s="112"/>
      <c r="F55" s="113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1" t="s">
        <v>198</v>
      </c>
      <c r="C56" s="112"/>
      <c r="D56" s="112"/>
      <c r="E56" s="112"/>
      <c r="F56" s="113"/>
      <c r="G56" s="24">
        <f>(G54+G55)*'Fane 12. Nøgletal'!C24</f>
        <v>120900.90845847613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/DKBPunIh9M0YwV9RXACMSjET1mbhD6SwKkLcK7LaMru79jqnpLb2DS7LOQpKXMEmxZ4LDmcCdutmTeOoRBKag==" saltValue="/9mZErV6Qza19ks15ZoB3g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4" t="s">
        <v>9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11" t="s">
        <v>105</v>
      </c>
      <c r="C9" s="112"/>
      <c r="D9" s="112"/>
      <c r="E9" s="112"/>
      <c r="F9" s="113"/>
      <c r="G9" s="44">
        <v>1.3561831199512556E-2</v>
      </c>
      <c r="H9" s="14"/>
      <c r="I9" s="1"/>
    </row>
    <row r="10" spans="1:9" x14ac:dyDescent="0.25">
      <c r="A10" s="1"/>
      <c r="B10" s="111" t="s">
        <v>141</v>
      </c>
      <c r="C10" s="112"/>
      <c r="D10" s="112"/>
      <c r="E10" s="112"/>
      <c r="F10" s="113"/>
      <c r="G10" s="44">
        <v>7.5740939273806563E-3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3" t="s">
        <v>192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Mj1K4eSbMiCOKRnRPTDGn4RBB6ptuz3OGUpPa+JYjCh2mtxBr6og0pAk7iRBHqaxO9Q6lzh3tLwwaGfWxrtPLQ==" saltValue="V3YLJtzLg3Zvoc/mKNzQ8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2021-09-01T12:47:55Z</dcterms:modified>
</cp:coreProperties>
</file>