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ricia Spildevand og Energi AS (S02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3" i="32" l="1"/>
  <c r="E14" i="11" l="1"/>
  <c r="E12" i="11"/>
  <c r="E16" i="40" l="1"/>
  <c r="E12" i="40"/>
  <c r="C15" i="19" l="1"/>
  <c r="E18" i="27" l="1"/>
  <c r="G26" i="30" l="1"/>
  <c r="E29" i="32" l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11" i="11" l="1"/>
  <c r="E13" i="11"/>
  <c r="E10" i="11"/>
  <c r="G7" i="30" l="1"/>
  <c r="E29" i="20" l="1"/>
  <c r="E23" i="20"/>
  <c r="E17" i="20"/>
  <c r="E11" i="20"/>
  <c r="E12" i="20" s="1"/>
  <c r="E21" i="32" l="1"/>
  <c r="E12" i="32"/>
  <c r="E17" i="40" l="1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C23" i="22" s="1"/>
  <c r="E38" i="39"/>
  <c r="C22" i="23" s="1"/>
  <c r="C23" i="23" s="1"/>
  <c r="E14" i="39"/>
  <c r="C31" i="2" s="1"/>
  <c r="C14" i="39"/>
  <c r="C30" i="2" s="1"/>
  <c r="C24" i="15" l="1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14" i="11"/>
  <c r="C10" i="37" s="1"/>
  <c r="C12" i="37" s="1"/>
  <c r="C13" i="37" s="1"/>
  <c r="C14" i="2" s="1"/>
  <c r="G14" i="11"/>
  <c r="E11" i="21" l="1"/>
  <c r="C11" i="21"/>
  <c r="E11" i="29"/>
  <c r="C11" i="29"/>
  <c r="C16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2" i="37" s="1"/>
  <c r="E13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<sst xmlns="http://schemas.openxmlformats.org/spreadsheetml/2006/main" count="711" uniqueCount="287">
  <si>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</si>
  <si>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</si>
  <si>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</si>
  <si>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</si>
  <si>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</si>
  <si>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</si>
  <si>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</si>
  <si>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</si>
  <si>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</si>
  <si>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</si>
  <si>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</si>
  <si>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</si>
  <si>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</si>
  <si>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</si>
  <si>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</si>
  <si>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</si>
  <si>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</si>
  <si>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</si>
  <si>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</si>
  <si>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</si>
  <si>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</si>
  <si>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</si>
  <si>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</si>
  <si>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</si>
  <si>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</si>
  <si>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</si>
  <si>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</si>
  <si>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</si>
  <si>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</si>
  <si>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</si>
  <si>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</si>
  <si>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</si>
  <si>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</si>
  <si>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</si>
  <si>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</si>
  <si>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</si>
  <si>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</si>
  <si>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</si>
  <si>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</si>
  <si>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</si>
  <si>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</si>
  <si>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</si>
  <si>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</si>
  <si>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</si>
  <si>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</si>
  <si>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</si>
  <si>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</si>
  <si>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</si>
  <si>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</si>
  <si>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</si>
  <si>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</si>
  <si>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</si>
  <si>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</si>
  <si>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</si>
  <si>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</si>
  <si>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</si>
  <si>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</si>
  <si>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</si>
  <si>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</si>
  <si>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</si>
  <si>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</si>
  <si>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</si>
  <si>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</si>
  <si>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</si>
  <si>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</si>
  <si>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</si>
  <si>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</si>
  <si>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</si>
  <si>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</si>
  <si>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</si>
  <si>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</si>
  <si>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</si>
  <si>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</si>
  <si>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</si>
  <si>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</si>
  <si>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</si>
  <si>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</si>
  <si>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</si>
  <si>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</si>
  <si>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</si>
  <si>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</si>
  <si>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</si>
  <si>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</si>
  <si>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</si>
  <si>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</si>
  <si>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</si>
  <si>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</si>
  <si>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</si>
  <si>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</si>
  <si>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</si>
  <si>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</si>
  <si>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</si>
  <si>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</si>
  <si>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</si>
  <si>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</si>
  <si>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</si>
  <si>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</si>
  <si>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</si>
  <si>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</si>
  <si>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</si>
  <si>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</si>
  <si>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</si>
  <si>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</si>
  <si>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</si>
  <si>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</si>
  <si>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</si>
  <si>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</si>
  <si>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</si>
  <si>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</si>
  <si>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</si>
  <si>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</si>
  <si>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</si>
  <si>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</si>
  <si>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</si>
  <si>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</si>
  <si>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</si>
  <si>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</si>
  <si>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</si>
  <si>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</si>
  <si>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</si>
  <si>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</si>
  <si>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</si>
  <si>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</si>
  <si>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</si>
  <si>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</si>
  <si>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</si>
  <si>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</si>
  <si>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</si>
  <si>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</si>
  <si>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</si>
  <si>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</si>
  <si>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</si>
  <si>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</si>
  <si>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</si>
  <si>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</si>
  <si>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</si>
  <si>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</si>
  <si>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</si>
  <si>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</si>
  <si>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</si>
  <si>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</si>
  <si>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</si>
  <si>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</si>
  <si>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</si>
  <si>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</si>
  <si>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</si>
  <si>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</si>
  <si>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</si>
  <si>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</si>
  <si>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</si>
  <si>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</si>
  <si>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</si>
  <si>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</si>
  <si>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</si>
  <si>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</si>
  <si>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</si>
  <si>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</si>
  <si>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</si>
  <si>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</si>
  <si>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</si>
  <si>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</si>
  <si>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</si>
  <si>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</si>
  <si>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</si>
  <si>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</si>
  <si>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</si>
  <si>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</si>
  <si>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</si>
  <si>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</si>
  <si>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</si>
  <si>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</si>
  <si>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</si>
  <si>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</si>
  <si>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</si>
  <si>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</si>
  <si>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</si>
  <si>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</si>
  <si>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</si>
  <si>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</si>
  <si>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</si>
  <si>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</si>
  <si>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</si>
  <si>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</si>
  <si>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</si>
  <si>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</si>
  <si>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</si>
  <si>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</si>
  <si>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</si>
  <si>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</si>
  <si>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</si>
  <si>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</si>
  <si>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</si>
  <si>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</si>
  <si>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</si>
  <si>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</si>
  <si>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</si>
  <si>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</si>
  <si>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</si>
  <si>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</si>
  <si>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</si>
  <si>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</si>
  <si>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</si>
  <si>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</si>
  <si>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</si>
  <si>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</si>
  <si>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</si>
  <si>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</si>
  <si>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</si>
  <si>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</si>
  <si>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</si>
  <si>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</si>
  <si>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</si>
  <si>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</si>
  <si>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</si>
  <si>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</si>
  <si>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</si>
  <si>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</si>
  <si>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</si>
  <si>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</si>
  <si>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</si>
  <si>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</si>
  <si>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</si>
  <si>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</si>
  <si>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</si>
  <si>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</si>
  <si>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</si>
  <si>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</si>
  <si>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</si>
  <si>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</si>
  <si>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</si>
  <si>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</si>
  <si>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</si>
  <si>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</si>
  <si>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</si>
  <si>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</si>
  <si>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</si>
  <si>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</si>
  <si>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</si>
  <si>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</si>
  <si>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</si>
  <si>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</si>
  <si>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</si>
  <si>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</si>
  <si>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</si>
  <si>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</si>
  <si>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</si>
  <si>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</si>
  <si>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</si>
  <si>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</si>
  <si>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</si>
  <si>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</si>
  <si>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</si>
  <si>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</si>
  <si>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</si>
  <si>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</si>
  <si>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</si>
  <si>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</si>
  <si>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</si>
  <si>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</si>
  <si>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</si>
  <si>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</si>
  <si>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</si>
  <si>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</si>
  <si>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</si>
  <si>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</si>
  <si>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</si>
  <si>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</si>
  <si>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</si>
  <si>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</si>
  <si>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</si>
  <si>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</si>
  <si>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</si>
  <si>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</si>
  <si>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</si>
  <si>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</si>
  <si>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</si>
  <si>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Ø 1200 mm &lt; Ledningsnet ≤ Ø 1600 mm</t>
  </si>
  <si>
    <t>75</t>
  </si>
  <si>
    <t>Ø 500 mm &lt; Ledningsnet ≤ Ø 800 mm</t>
  </si>
  <si>
    <t>Mandskabsfaciliteter</t>
  </si>
  <si>
    <t>60</t>
  </si>
  <si>
    <t>Efterklaringstanke, Mek/El</t>
  </si>
  <si>
    <t>20</t>
  </si>
  <si>
    <t>Bystrategiprojekt</t>
  </si>
  <si>
    <t>Ingen bordfald eller nedsættelse</t>
  </si>
  <si>
    <t>Udvidelse af forsyningsområde</t>
  </si>
  <si>
    <t xml:space="preserve">Ingen engangstillæg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</si>
</sst>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6" t="s">
        <v>4</v>
      </c>
      <c r="E6" s="56"/>
      <c r="F6" s="56"/>
      <c r="G6" s="56"/>
      <c r="H6" s="3"/>
      <c r="I6" s="1"/>
    </row>
    <row r="7" spans="1:9" ht="15" customHeight="1" x14ac:dyDescent="0.25">
      <c r="A7" s="1"/>
      <c r="B7" s="1"/>
      <c r="C7" s="3"/>
      <c r="D7" s="56"/>
      <c r="E7" s="56"/>
      <c r="F7" s="56"/>
      <c r="G7" s="56"/>
      <c r="H7" s="3"/>
      <c r="I7" s="1"/>
    </row>
    <row r="8" spans="1:9" ht="15.75" x14ac:dyDescent="0.25">
      <c r="A8" s="1"/>
      <c r="B8" s="1"/>
      <c r="C8" s="4"/>
      <c r="D8" s="61" t="s">
        <v>263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41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17</v>
      </c>
      <c r="D14" s="62" t="s">
        <v>264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39</v>
      </c>
      <c r="D15" s="62" t="s">
        <v>104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40</v>
      </c>
      <c r="D16" s="62" t="s">
        <v>188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184</v>
      </c>
      <c r="D17" s="62" t="s">
        <v>189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156</v>
      </c>
      <c r="D18" s="65" t="s">
        <v>134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157</v>
      </c>
      <c r="D19" s="65" t="s">
        <v>135</v>
      </c>
      <c r="E19" s="66"/>
      <c r="F19" s="66"/>
      <c r="G19" s="67"/>
      <c r="H19" s="1"/>
      <c r="I19" s="1"/>
    </row>
    <row r="20" spans="1:9" x14ac:dyDescent="0.25">
      <c r="A20" s="1"/>
      <c r="B20" s="1"/>
      <c r="C20" s="6" t="s">
        <v>7</v>
      </c>
      <c r="D20" s="65" t="s">
        <v>10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158</v>
      </c>
      <c r="D21" s="71" t="s">
        <v>13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108</v>
      </c>
      <c r="D22" s="57" t="s">
        <v>190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191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42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159</v>
      </c>
      <c r="D25" s="57" t="s">
        <v>109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160</v>
      </c>
      <c r="D26" s="57" t="s">
        <v>110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161</v>
      </c>
      <c r="D27" s="57" t="s">
        <v>111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187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44</v>
      </c>
      <c r="D29" s="57" t="s">
        <v>43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45</v>
      </c>
      <c r="D30" s="68" t="s">
        <v>151</v>
      </c>
      <c r="E30" s="69"/>
      <c r="F30" s="69"/>
      <c r="G30" s="70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165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203</v>
      </c>
      <c r="C8" s="99"/>
      <c r="D8" s="100"/>
      <c r="E8" s="1"/>
      <c r="F8" s="1"/>
    </row>
    <row r="9" spans="1:6" ht="15" customHeight="1" x14ac:dyDescent="0.25">
      <c r="A9" s="1"/>
      <c r="B9" s="42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3060599</v>
      </c>
      <c r="D10" s="14" t="s">
        <v>3</v>
      </c>
      <c r="E10" s="1"/>
      <c r="F10" s="1"/>
    </row>
    <row r="11" spans="1:6" ht="15" customHeight="1" x14ac:dyDescent="0.25">
      <c r="A11" s="1"/>
      <c r="B11" s="49" t="s">
        <v>271</v>
      </c>
      <c r="C11" s="9">
        <v>138869</v>
      </c>
      <c r="D11" s="14" t="s">
        <v>3</v>
      </c>
      <c r="E11" s="1"/>
      <c r="F11" s="1"/>
    </row>
    <row r="12" spans="1:6" x14ac:dyDescent="0.25">
      <c r="A12" s="1"/>
      <c r="B12" s="49" t="s">
        <v>272</v>
      </c>
      <c r="C12" s="9">
        <v>986506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721961</v>
      </c>
      <c r="D13" s="14" t="s">
        <v>3</v>
      </c>
      <c r="E13" s="1"/>
      <c r="F13" s="1"/>
    </row>
    <row r="14" spans="1:6" x14ac:dyDescent="0.25">
      <c r="A14" s="1"/>
      <c r="B14" s="49" t="s">
        <v>274</v>
      </c>
      <c r="C14" s="9">
        <v>24282</v>
      </c>
      <c r="D14" s="14" t="s">
        <v>3</v>
      </c>
      <c r="E14" s="1"/>
      <c r="F14" s="1"/>
    </row>
    <row r="15" spans="1:6" x14ac:dyDescent="0.25">
      <c r="A15" s="1"/>
      <c r="B15" s="37" t="s">
        <v>205</v>
      </c>
      <c r="C15" s="12">
        <f>SUM(C10:C14)</f>
        <v>4932217</v>
      </c>
      <c r="D15" s="13" t="s">
        <v>3</v>
      </c>
      <c r="E15" s="1"/>
      <c r="F15" s="1"/>
    </row>
    <row r="16" spans="1:6" x14ac:dyDescent="0.25">
      <c r="A16" s="1"/>
      <c r="B16" s="37" t="s">
        <v>206</v>
      </c>
      <c r="C16" s="12">
        <f>C15*(1+'Fane 14. Nøgletal'!C13)^2</f>
        <v>5053297.2059782799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8" t="s">
        <v>176</v>
      </c>
      <c r="C19" s="99"/>
      <c r="D19" s="100"/>
      <c r="E19" s="1"/>
      <c r="F19" s="1"/>
    </row>
    <row r="20" spans="1:6" x14ac:dyDescent="0.25">
      <c r="A20" s="1"/>
      <c r="B20" s="49" t="s">
        <v>142</v>
      </c>
      <c r="C20" s="9">
        <v>1644975</v>
      </c>
      <c r="D20" s="14" t="s">
        <v>3</v>
      </c>
      <c r="E20" s="1"/>
      <c r="F20" s="1"/>
    </row>
    <row r="21" spans="1:6" x14ac:dyDescent="0.25">
      <c r="A21" s="1"/>
      <c r="B21" s="49" t="s">
        <v>143</v>
      </c>
      <c r="C21" s="9">
        <v>1644234</v>
      </c>
      <c r="D21" s="14" t="s">
        <v>3</v>
      </c>
      <c r="E21" s="1"/>
      <c r="F21" s="1"/>
    </row>
    <row r="22" spans="1:6" x14ac:dyDescent="0.25">
      <c r="A22" s="1"/>
      <c r="B22" s="49" t="s">
        <v>144</v>
      </c>
      <c r="C22" s="9">
        <v>1643489</v>
      </c>
      <c r="D22" s="14" t="s">
        <v>3</v>
      </c>
      <c r="E22" s="1"/>
      <c r="F22" s="1"/>
    </row>
    <row r="23" spans="1:6" x14ac:dyDescent="0.25">
      <c r="A23" s="1"/>
      <c r="B23" s="49" t="s">
        <v>207</v>
      </c>
      <c r="C23" s="9">
        <v>1642748</v>
      </c>
      <c r="D23" s="14" t="s">
        <v>3</v>
      </c>
      <c r="E23" s="1"/>
      <c r="F23" s="1"/>
    </row>
    <row r="24" spans="1:6" x14ac:dyDescent="0.25">
      <c r="A24" s="1"/>
      <c r="B24" s="98"/>
      <c r="C24" s="99"/>
      <c r="D24" s="100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8" t="s">
        <v>141</v>
      </c>
      <c r="C27" s="99"/>
      <c r="D27" s="100"/>
      <c r="E27" s="1"/>
      <c r="F27" s="1"/>
    </row>
    <row r="28" spans="1:6" x14ac:dyDescent="0.25">
      <c r="A28" s="1"/>
      <c r="B28" s="49" t="s">
        <v>142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9" t="s">
        <v>143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144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9" t="s">
        <v>207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8"/>
      <c r="C32" s="99"/>
      <c r="D32" s="100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6" t="s">
        <v>208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250</v>
      </c>
      <c r="C8" s="99"/>
      <c r="D8" s="99"/>
      <c r="E8" s="99"/>
      <c r="F8" s="100"/>
      <c r="G8" s="1"/>
    </row>
    <row r="9" spans="1:7" x14ac:dyDescent="0.25">
      <c r="A9" s="1"/>
      <c r="B9" s="101" t="s">
        <v>251</v>
      </c>
      <c r="C9" s="102"/>
      <c r="D9" s="103"/>
      <c r="E9" s="9">
        <v>129725819.05469525</v>
      </c>
      <c r="F9" s="14" t="s">
        <v>3</v>
      </c>
      <c r="G9" s="1"/>
    </row>
    <row r="10" spans="1:7" x14ac:dyDescent="0.25">
      <c r="A10" s="1"/>
      <c r="B10" s="101" t="s">
        <v>252</v>
      </c>
      <c r="C10" s="102"/>
      <c r="D10" s="103"/>
      <c r="E10" s="9">
        <v>117364000</v>
      </c>
      <c r="F10" s="14" t="s">
        <v>3</v>
      </c>
      <c r="G10" s="1"/>
    </row>
    <row r="11" spans="1:7" x14ac:dyDescent="0.25">
      <c r="A11" s="1"/>
      <c r="B11" s="101" t="s">
        <v>38</v>
      </c>
      <c r="C11" s="102"/>
      <c r="D11" s="103"/>
      <c r="E11" s="9">
        <v>0</v>
      </c>
      <c r="F11" s="14" t="s">
        <v>3</v>
      </c>
      <c r="G11" s="1"/>
    </row>
    <row r="12" spans="1:7" x14ac:dyDescent="0.25">
      <c r="A12" s="1"/>
      <c r="B12" s="95" t="s">
        <v>257</v>
      </c>
      <c r="C12" s="96"/>
      <c r="D12" s="97"/>
      <c r="E12" s="10">
        <f>E9-(E10-E11)</f>
        <v>12361819.054695249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86" t="s">
        <v>253</v>
      </c>
      <c r="C14" s="87"/>
      <c r="D14" s="87"/>
      <c r="E14" s="87"/>
      <c r="F14" s="88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8" t="s">
        <v>51</v>
      </c>
      <c r="C17" s="99"/>
      <c r="D17" s="99"/>
      <c r="E17" s="99"/>
      <c r="F17" s="100"/>
      <c r="G17" s="1"/>
    </row>
    <row r="18" spans="1:7" x14ac:dyDescent="0.25">
      <c r="A18" s="1"/>
      <c r="B18" s="101" t="s">
        <v>52</v>
      </c>
      <c r="C18" s="102"/>
      <c r="D18" s="103"/>
      <c r="E18" s="9">
        <v>138016843.66465187</v>
      </c>
      <c r="F18" s="14" t="s">
        <v>3</v>
      </c>
      <c r="G18" s="1"/>
    </row>
    <row r="19" spans="1:7" x14ac:dyDescent="0.25">
      <c r="A19" s="1"/>
      <c r="B19" s="101" t="s">
        <v>53</v>
      </c>
      <c r="C19" s="102"/>
      <c r="D19" s="103"/>
      <c r="E19" s="9">
        <v>144644136</v>
      </c>
      <c r="F19" s="14" t="s">
        <v>3</v>
      </c>
      <c r="G19" s="1"/>
    </row>
    <row r="20" spans="1:7" x14ac:dyDescent="0.25">
      <c r="A20" s="1"/>
      <c r="B20" s="101" t="s">
        <v>38</v>
      </c>
      <c r="C20" s="102"/>
      <c r="D20" s="103"/>
      <c r="E20" s="9">
        <v>0</v>
      </c>
      <c r="F20" s="14" t="s">
        <v>3</v>
      </c>
      <c r="G20" s="1"/>
    </row>
    <row r="21" spans="1:7" x14ac:dyDescent="0.25">
      <c r="A21" s="1"/>
      <c r="B21" s="95" t="s">
        <v>54</v>
      </c>
      <c r="C21" s="96"/>
      <c r="D21" s="97"/>
      <c r="E21" s="10">
        <f>E18-(E19-E20)</f>
        <v>-6627292.3353481293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86" t="s">
        <v>253</v>
      </c>
      <c r="C23" s="87"/>
      <c r="D23" s="87"/>
      <c r="E23" s="87"/>
      <c r="F23" s="88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8" t="s">
        <v>254</v>
      </c>
      <c r="C25" s="99"/>
      <c r="D25" s="99"/>
      <c r="E25" s="99"/>
      <c r="F25" s="100"/>
      <c r="G25" s="1"/>
    </row>
    <row r="26" spans="1:7" x14ac:dyDescent="0.25">
      <c r="A26" s="1"/>
      <c r="B26" s="101" t="s">
        <v>255</v>
      </c>
      <c r="C26" s="102"/>
      <c r="D26" s="103"/>
      <c r="E26" s="9">
        <v>122543754.43539518</v>
      </c>
      <c r="F26" s="14" t="s">
        <v>3</v>
      </c>
      <c r="G26" s="1"/>
    </row>
    <row r="27" spans="1:7" x14ac:dyDescent="0.25">
      <c r="A27" s="1"/>
      <c r="B27" s="101" t="s">
        <v>256</v>
      </c>
      <c r="C27" s="102"/>
      <c r="D27" s="103"/>
      <c r="E27" s="9">
        <v>146902000</v>
      </c>
      <c r="F27" s="14" t="s">
        <v>3</v>
      </c>
      <c r="G27" s="1"/>
    </row>
    <row r="28" spans="1:7" x14ac:dyDescent="0.25">
      <c r="A28" s="1"/>
      <c r="B28" s="101" t="s">
        <v>38</v>
      </c>
      <c r="C28" s="102"/>
      <c r="D28" s="103"/>
      <c r="E28" s="9">
        <v>0</v>
      </c>
      <c r="F28" s="14" t="s">
        <v>3</v>
      </c>
      <c r="G28" s="1"/>
    </row>
    <row r="29" spans="1:7" x14ac:dyDescent="0.25">
      <c r="A29" s="1"/>
      <c r="B29" s="95" t="s">
        <v>258</v>
      </c>
      <c r="C29" s="96"/>
      <c r="D29" s="97"/>
      <c r="E29" s="10">
        <f>E26-(E27-E28)</f>
        <v>-24358245.564604819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259</v>
      </c>
      <c r="C32" s="99"/>
      <c r="D32" s="99"/>
      <c r="E32" s="99"/>
      <c r="F32" s="100"/>
      <c r="G32" s="1"/>
    </row>
    <row r="33" spans="1:7" x14ac:dyDescent="0.25">
      <c r="A33" s="1"/>
      <c r="B33" s="112" t="s">
        <v>260</v>
      </c>
      <c r="C33" s="113"/>
      <c r="D33" s="114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-18623718.845257699</v>
      </c>
      <c r="F33" s="14" t="s">
        <v>3</v>
      </c>
      <c r="G33" s="1"/>
    </row>
    <row r="34" spans="1:7" x14ac:dyDescent="0.25">
      <c r="A34" s="1"/>
      <c r="B34" s="112" t="s">
        <v>147</v>
      </c>
      <c r="C34" s="113"/>
      <c r="D34" s="114"/>
      <c r="E34" s="9">
        <v>2</v>
      </c>
      <c r="F34" s="14" t="s">
        <v>21</v>
      </c>
      <c r="G34" s="1"/>
    </row>
    <row r="35" spans="1:7" x14ac:dyDescent="0.25">
      <c r="A35" s="1"/>
      <c r="B35" s="115" t="s">
        <v>262</v>
      </c>
      <c r="C35" s="115"/>
      <c r="D35" s="115"/>
      <c r="E35" s="10">
        <f>E33/E34</f>
        <v>-9311859.4226288497</v>
      </c>
      <c r="F35" s="17" t="s">
        <v>3</v>
      </c>
      <c r="G35" s="1"/>
    </row>
    <row r="36" spans="1:7" x14ac:dyDescent="0.25">
      <c r="A36" s="1"/>
      <c r="B36" s="116"/>
      <c r="C36" s="117"/>
      <c r="D36" s="117"/>
      <c r="E36" s="117"/>
      <c r="F36" s="11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6" t="s">
        <v>209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210</v>
      </c>
      <c r="C9" s="99"/>
      <c r="D9" s="99"/>
      <c r="E9" s="99"/>
      <c r="F9" s="99"/>
      <c r="G9" s="1"/>
    </row>
    <row r="10" spans="1:7" x14ac:dyDescent="0.25">
      <c r="A10" s="1"/>
      <c r="B10" s="86" t="s">
        <v>145</v>
      </c>
      <c r="C10" s="87"/>
      <c r="D10" s="88"/>
      <c r="E10" s="7">
        <v>0</v>
      </c>
      <c r="F10" s="8" t="s">
        <v>3</v>
      </c>
      <c r="G10" s="1"/>
    </row>
    <row r="11" spans="1:7" x14ac:dyDescent="0.25">
      <c r="A11" s="1"/>
      <c r="B11" s="101" t="s">
        <v>211</v>
      </c>
      <c r="C11" s="102"/>
      <c r="D11" s="103"/>
      <c r="E11" s="7">
        <v>0</v>
      </c>
      <c r="F11" s="8" t="s">
        <v>3</v>
      </c>
      <c r="G11" s="1"/>
    </row>
    <row r="12" spans="1:7" x14ac:dyDescent="0.25">
      <c r="A12" s="1"/>
      <c r="B12" s="95" t="s">
        <v>146</v>
      </c>
      <c r="C12" s="96"/>
      <c r="D12" s="97"/>
      <c r="E12" s="10">
        <f>E11-E10</f>
        <v>0</v>
      </c>
      <c r="F12" s="11" t="s">
        <v>3</v>
      </c>
      <c r="G12" s="1"/>
    </row>
    <row r="13" spans="1:7" x14ac:dyDescent="0.25">
      <c r="A13" s="1"/>
      <c r="B13" s="98" t="s">
        <v>133</v>
      </c>
      <c r="C13" s="99"/>
      <c r="D13" s="99"/>
      <c r="E13" s="99"/>
      <c r="F13" s="99"/>
      <c r="G13" s="1"/>
    </row>
    <row r="14" spans="1:7" x14ac:dyDescent="0.25">
      <c r="A14" s="1"/>
      <c r="B14" s="101" t="s">
        <v>212</v>
      </c>
      <c r="C14" s="102"/>
      <c r="D14" s="103"/>
      <c r="E14" s="9">
        <v>1646461</v>
      </c>
      <c r="F14" s="8" t="s">
        <v>3</v>
      </c>
      <c r="G14" s="1"/>
    </row>
    <row r="15" spans="1:7" x14ac:dyDescent="0.25">
      <c r="A15" s="1"/>
      <c r="B15" s="86" t="s">
        <v>213</v>
      </c>
      <c r="C15" s="87"/>
      <c r="D15" s="88"/>
      <c r="E15" s="9">
        <v>1698524</v>
      </c>
      <c r="F15" s="8" t="s">
        <v>3</v>
      </c>
      <c r="G15" s="1"/>
    </row>
    <row r="16" spans="1:7" x14ac:dyDescent="0.25">
      <c r="A16" s="1"/>
      <c r="B16" s="95" t="s">
        <v>146</v>
      </c>
      <c r="C16" s="96"/>
      <c r="D16" s="97"/>
      <c r="E16" s="10">
        <f>E15-E14</f>
        <v>52063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52063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235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236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ht="26.25" x14ac:dyDescent="0.25">
      <c r="A10" s="1"/>
      <c r="B10" s="51" t="s">
        <v>276</v>
      </c>
      <c r="C10" s="54" t="s">
        <v>277</v>
      </c>
      <c r="D10" s="9">
        <v>12893126</v>
      </c>
      <c r="E10" s="9">
        <f>IFERROR(D10/C10,0)</f>
        <v>171908.34666666668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1" t="s">
        <v>278</v>
      </c>
      <c r="C11" s="54" t="s">
        <v>277</v>
      </c>
      <c r="D11" s="9">
        <v>9578981</v>
      </c>
      <c r="E11" s="9">
        <f t="shared" ref="E11:E13" si="0">IFERROR(D11/C11,0)</f>
        <v>127719.74666666667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1" t="s">
        <v>279</v>
      </c>
      <c r="C12" s="54" t="s">
        <v>280</v>
      </c>
      <c r="D12" s="9">
        <v>16995573</v>
      </c>
      <c r="E12" s="9">
        <f t="shared" si="0"/>
        <v>283259.55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1" t="s">
        <v>281</v>
      </c>
      <c r="C13" s="54" t="s">
        <v>282</v>
      </c>
      <c r="D13" s="9">
        <v>1629301</v>
      </c>
      <c r="E13" s="9">
        <f t="shared" si="0"/>
        <v>81465.05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98" t="s">
        <v>237</v>
      </c>
      <c r="C14" s="99"/>
      <c r="D14" s="100"/>
      <c r="E14" s="12">
        <f>SUM(E10:E13)</f>
        <v>664352.69333333336</v>
      </c>
      <c r="F14" s="12">
        <f t="shared" ref="F14:G14" si="1">SUM(F10:F13)</f>
        <v>0</v>
      </c>
      <c r="G14" s="12">
        <f t="shared" si="1"/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Anlægsprojekter'!F14</f>
        <v>0</v>
      </c>
      <c r="D10" s="14" t="s">
        <v>3</v>
      </c>
      <c r="E10" s="9">
        <f>SUM('Fane 9. Anlægsprojekter'!E14,'Fane 9. Anlægsprojekter'!G14)</f>
        <v>664352.69333333336</v>
      </c>
      <c r="F10" s="14" t="s">
        <v>3</v>
      </c>
      <c r="G10" s="1"/>
    </row>
    <row r="11" spans="1:7" x14ac:dyDescent="0.25">
      <c r="A11" s="1"/>
      <c r="B11" s="55" t="s">
        <v>285</v>
      </c>
      <c r="C11" s="22">
        <v>83175</v>
      </c>
      <c r="D11" s="14" t="s">
        <v>3</v>
      </c>
      <c r="E11" s="9">
        <v>222008</v>
      </c>
      <c r="F11" s="14" t="s">
        <v>3</v>
      </c>
      <c r="G11" s="1"/>
    </row>
    <row r="12" spans="1:7" x14ac:dyDescent="0.25">
      <c r="A12" s="1"/>
      <c r="B12" s="37" t="s">
        <v>49</v>
      </c>
      <c r="C12" s="12">
        <f>SUM(C10:C11)</f>
        <v>83175</v>
      </c>
      <c r="D12" s="13" t="s">
        <v>3</v>
      </c>
      <c r="E12" s="12">
        <f>SUM(E10:E11)</f>
        <v>886360.69333333336</v>
      </c>
      <c r="F12" s="13" t="s">
        <v>3</v>
      </c>
      <c r="G12" s="1"/>
    </row>
    <row r="13" spans="1:7" x14ac:dyDescent="0.25">
      <c r="A13" s="1"/>
      <c r="B13" s="37" t="s">
        <v>215</v>
      </c>
      <c r="C13" s="12">
        <f>C12*(1+'Fane 14. Nøgletal'!C13)</f>
        <v>84189.735000000001</v>
      </c>
      <c r="D13" s="13" t="s">
        <v>3</v>
      </c>
      <c r="E13" s="12">
        <f>E12*(1+'Fane 14. Nøgletal'!C13)</f>
        <v>897174.29379200004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kIlclgiHJTHVOK1N2HmUxI+wmJ0UIb5L8un8VGExlcvIiyBvT35XKPEOUR12niC1NPlLvp/bMkcMqYuMtc5UQ==" saltValue="dqHDDvno/xkjSzuRPS09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163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136</v>
      </c>
      <c r="C8" s="99"/>
      <c r="D8" s="99"/>
      <c r="E8" s="99"/>
      <c r="F8" s="100"/>
      <c r="G8" s="1"/>
    </row>
    <row r="9" spans="1:7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286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137</v>
      </c>
      <c r="C16" s="99"/>
      <c r="D16" s="99"/>
      <c r="E16" s="99"/>
      <c r="F16" s="100"/>
      <c r="G16" s="1"/>
    </row>
    <row r="17" spans="1:7" x14ac:dyDescent="0.25">
      <c r="A17" s="1"/>
      <c r="B17" s="39" t="s">
        <v>18</v>
      </c>
      <c r="C17" s="39" t="s">
        <v>12</v>
      </c>
      <c r="D17" s="40"/>
      <c r="E17" s="39" t="s">
        <v>36</v>
      </c>
      <c r="F17" s="53"/>
      <c r="G17" s="1"/>
    </row>
    <row r="18" spans="1:7" x14ac:dyDescent="0.25">
      <c r="A18" s="1"/>
      <c r="B18" s="25" t="s">
        <v>286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138</v>
      </c>
      <c r="C24" s="99"/>
      <c r="D24" s="99"/>
      <c r="E24" s="99"/>
      <c r="F24" s="100"/>
      <c r="G24" s="1"/>
    </row>
    <row r="25" spans="1:7" x14ac:dyDescent="0.25">
      <c r="A25" s="1"/>
      <c r="B25" s="39" t="s">
        <v>18</v>
      </c>
      <c r="C25" s="39" t="s">
        <v>12</v>
      </c>
      <c r="D25" s="40"/>
      <c r="E25" s="39" t="s">
        <v>36</v>
      </c>
      <c r="F25" s="53"/>
      <c r="G25" s="1"/>
    </row>
    <row r="26" spans="1:7" x14ac:dyDescent="0.25">
      <c r="A26" s="1"/>
      <c r="B26" s="25" t="s">
        <v>286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218</v>
      </c>
      <c r="C32" s="99"/>
      <c r="D32" s="99"/>
      <c r="E32" s="99"/>
      <c r="F32" s="100"/>
      <c r="G32" s="1"/>
    </row>
    <row r="33" spans="1:7" x14ac:dyDescent="0.25">
      <c r="A33" s="1"/>
      <c r="B33" s="39" t="s">
        <v>18</v>
      </c>
      <c r="C33" s="39" t="s">
        <v>12</v>
      </c>
      <c r="D33" s="40"/>
      <c r="E33" s="39" t="s">
        <v>36</v>
      </c>
      <c r="F33" s="53"/>
      <c r="G33" s="1"/>
    </row>
    <row r="34" spans="1:7" x14ac:dyDescent="0.25">
      <c r="A34" s="1"/>
      <c r="B34" s="25" t="s">
        <v>286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85+JYlH4cwYyUOLaXvkXyJvXLzz84I0i2m9tLuSHBbg/bJouhRpgRAYf4YuU2Ea+fCoS86Fp7bZfHblyDqovkg==" saltValue="Dv6vNTQCI8wEmmSfMWXUY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175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6"/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123</v>
      </c>
      <c r="C8" s="99"/>
      <c r="D8" s="99"/>
      <c r="E8" s="99"/>
      <c r="F8" s="100"/>
      <c r="G8" s="1"/>
    </row>
    <row r="9" spans="1:7" x14ac:dyDescent="0.25">
      <c r="A9" s="1"/>
      <c r="B9" s="119" t="s">
        <v>219</v>
      </c>
      <c r="C9" s="120"/>
      <c r="D9" s="121"/>
      <c r="E9" s="9">
        <v>0</v>
      </c>
      <c r="F9" s="14" t="s">
        <v>3</v>
      </c>
      <c r="G9" s="1"/>
    </row>
    <row r="10" spans="1:7" x14ac:dyDescent="0.25">
      <c r="A10" s="1"/>
      <c r="B10" s="83" t="s">
        <v>10</v>
      </c>
      <c r="C10" s="84"/>
      <c r="D10" s="85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3" t="s">
        <v>29</v>
      </c>
      <c r="C11" s="84"/>
      <c r="D11" s="85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8" t="s">
        <v>126</v>
      </c>
      <c r="C12" s="99"/>
      <c r="D12" s="100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124</v>
      </c>
      <c r="C14" s="99"/>
      <c r="D14" s="99"/>
      <c r="E14" s="99"/>
      <c r="F14" s="100"/>
      <c r="G14" s="1"/>
    </row>
    <row r="15" spans="1:7" x14ac:dyDescent="0.25">
      <c r="A15" s="1"/>
      <c r="B15" s="119" t="s">
        <v>219</v>
      </c>
      <c r="C15" s="120"/>
      <c r="D15" s="121"/>
      <c r="E15" s="9">
        <v>0</v>
      </c>
      <c r="F15" s="14" t="s">
        <v>3</v>
      </c>
      <c r="G15" s="1"/>
    </row>
    <row r="16" spans="1:7" x14ac:dyDescent="0.25">
      <c r="A16" s="1"/>
      <c r="B16" s="83" t="s">
        <v>10</v>
      </c>
      <c r="C16" s="84"/>
      <c r="D16" s="85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3" t="s">
        <v>29</v>
      </c>
      <c r="C17" s="84"/>
      <c r="D17" s="85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8" t="s">
        <v>127</v>
      </c>
      <c r="C18" s="99"/>
      <c r="D18" s="100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125</v>
      </c>
      <c r="C20" s="99"/>
      <c r="D20" s="99"/>
      <c r="E20" s="99"/>
      <c r="F20" s="100"/>
      <c r="G20" s="1"/>
    </row>
    <row r="21" spans="1:7" x14ac:dyDescent="0.25">
      <c r="A21" s="1"/>
      <c r="B21" s="119" t="s">
        <v>219</v>
      </c>
      <c r="C21" s="120"/>
      <c r="D21" s="121"/>
      <c r="E21" s="9">
        <v>0</v>
      </c>
      <c r="F21" s="14" t="s">
        <v>3</v>
      </c>
      <c r="G21" s="1"/>
    </row>
    <row r="22" spans="1:7" x14ac:dyDescent="0.25">
      <c r="A22" s="1"/>
      <c r="B22" s="83" t="s">
        <v>10</v>
      </c>
      <c r="C22" s="84"/>
      <c r="D22" s="85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3" t="s">
        <v>29</v>
      </c>
      <c r="C23" s="84"/>
      <c r="D23" s="85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8" t="s">
        <v>128</v>
      </c>
      <c r="C24" s="99"/>
      <c r="D24" s="100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220</v>
      </c>
      <c r="C26" s="99"/>
      <c r="D26" s="99"/>
      <c r="E26" s="99"/>
      <c r="F26" s="100"/>
      <c r="G26" s="1"/>
    </row>
    <row r="27" spans="1:7" x14ac:dyDescent="0.25">
      <c r="A27" s="1"/>
      <c r="B27" s="119" t="s">
        <v>122</v>
      </c>
      <c r="C27" s="120"/>
      <c r="D27" s="121"/>
      <c r="E27" s="9">
        <v>0</v>
      </c>
      <c r="F27" s="14" t="s">
        <v>3</v>
      </c>
      <c r="G27" s="1"/>
    </row>
    <row r="28" spans="1:7" x14ac:dyDescent="0.25">
      <c r="A28" s="1"/>
      <c r="B28" s="83" t="s">
        <v>10</v>
      </c>
      <c r="C28" s="84"/>
      <c r="D28" s="85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3" t="s">
        <v>29</v>
      </c>
      <c r="C29" s="84"/>
      <c r="D29" s="85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8" t="s">
        <v>221</v>
      </c>
      <c r="C30" s="99"/>
      <c r="D30" s="100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222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223</v>
      </c>
      <c r="C8" s="99"/>
      <c r="D8" s="99"/>
      <c r="E8" s="99"/>
      <c r="F8" s="100"/>
      <c r="G8" s="1"/>
    </row>
    <row r="9" spans="1:7" ht="15" customHeight="1" x14ac:dyDescent="0.25">
      <c r="A9" s="1"/>
      <c r="B9" s="52" t="s">
        <v>224</v>
      </c>
      <c r="C9" s="89" t="s">
        <v>12</v>
      </c>
      <c r="D9" s="91"/>
      <c r="E9" s="122" t="s">
        <v>36</v>
      </c>
      <c r="F9" s="123"/>
      <c r="G9" s="1"/>
    </row>
    <row r="10" spans="1:7" x14ac:dyDescent="0.2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162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130</v>
      </c>
      <c r="C8" s="99"/>
      <c r="D8" s="99"/>
      <c r="E8" s="99"/>
      <c r="F8" s="100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283</v>
      </c>
      <c r="C10" s="9">
        <v>486275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486275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492207.55499999999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129</v>
      </c>
      <c r="C14" s="99"/>
      <c r="D14" s="99"/>
      <c r="E14" s="99"/>
      <c r="F14" s="100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284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131</v>
      </c>
      <c r="C20" s="99"/>
      <c r="D20" s="99"/>
      <c r="E20" s="99"/>
      <c r="F20" s="100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284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284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7ErlPEGcXlY35Ba35I1x7OwLcE/YnVf62OWG5PPsQAyKC5ZiS5E4r3tQhkY6YiOMBzAuhiM2/TAlRO//Dvh3Q==" saltValue="NIcpAD3yrJVbsaZyl5cRQ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6" t="s">
        <v>265</v>
      </c>
      <c r="C3" s="76"/>
      <c r="D3" s="1"/>
    </row>
    <row r="4" spans="1:4" ht="25.5" customHeight="1" x14ac:dyDescent="0.25">
      <c r="A4" s="1"/>
      <c r="B4" s="76"/>
      <c r="C4" s="7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192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8" t="s">
        <v>27</v>
      </c>
      <c r="C9" s="7">
        <f>'Fane 3. Omkostninger i ØR2020'!E22</f>
        <v>117824225.57009427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814554.86662830727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1039790.0770326712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1541320.6626890227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25840.247191583938</v>
      </c>
      <c r="D13" s="8" t="s">
        <v>3</v>
      </c>
      <c r="E13" s="1"/>
    </row>
    <row r="14" spans="1:5" ht="17.100000000000001" customHeight="1" x14ac:dyDescent="0.25">
      <c r="A14" s="1"/>
      <c r="B14" s="46" t="s">
        <v>46</v>
      </c>
      <c r="C14" s="7">
        <f>'Fane 10.1. Varige tillæg'!C13</f>
        <v>84189.735000000001</v>
      </c>
      <c r="D14" s="8" t="s">
        <v>3</v>
      </c>
      <c r="E14" s="1"/>
    </row>
    <row r="15" spans="1:5" ht="17.100000000000001" customHeight="1" x14ac:dyDescent="0.25">
      <c r="A15" s="1"/>
      <c r="B15" s="46" t="s">
        <v>47</v>
      </c>
      <c r="C15" s="9">
        <f>'Fane 10.1. Varige tillæg'!E13</f>
        <v>897174.29379200004</v>
      </c>
      <c r="D15" s="8" t="s">
        <v>3</v>
      </c>
      <c r="E15" s="1"/>
    </row>
    <row r="16" spans="1:5" ht="17.100000000000001" customHeight="1" x14ac:dyDescent="0.25">
      <c r="A16" s="1"/>
      <c r="B16" s="46" t="s">
        <v>32</v>
      </c>
      <c r="C16" s="9">
        <f>-'Fane 13. Bortfald'!C12</f>
        <v>-492207.55499999999</v>
      </c>
      <c r="D16" s="8" t="s">
        <v>3</v>
      </c>
      <c r="E16" s="1"/>
    </row>
    <row r="17" spans="1:5" ht="17.100000000000001" customHeight="1" x14ac:dyDescent="0.25">
      <c r="A17" s="1"/>
      <c r="B17" s="46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6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6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6" t="s">
        <v>20</v>
      </c>
      <c r="C20" s="9">
        <f>(C9-SUM(C10:C13))*'Fane 14. Nøgletal'!C10+SUM(C10:C11)*'Fane 14. Nøgletal'!C11+SUM(C12:C13)*'Fane 14. Nøgletal'!C12+SUM(C14:C19)*'Fane 14. Nøgletal'!C13</f>
        <v>2070226.8034924532</v>
      </c>
      <c r="D20" s="8" t="s">
        <v>3</v>
      </c>
      <c r="E20" s="1"/>
    </row>
    <row r="21" spans="1:5" ht="17.100000000000001" customHeight="1" x14ac:dyDescent="0.25">
      <c r="A21" s="1"/>
      <c r="B21" s="46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6" t="s">
        <v>29</v>
      </c>
      <c r="C22" s="9">
        <f>-'Fane 4.1. Gen. krav - drift'!G36</f>
        <v>-888897.59299367038</v>
      </c>
      <c r="D22" s="8" t="s">
        <v>3</v>
      </c>
      <c r="E22" s="1"/>
    </row>
    <row r="23" spans="1:5" ht="15" customHeight="1" x14ac:dyDescent="0.25">
      <c r="A23" s="1"/>
      <c r="B23" s="46" t="s">
        <v>30</v>
      </c>
      <c r="C23" s="9">
        <f>-'Fane 4.2. Gen. krav - anlæg'!G35</f>
        <v>-1343780.7557835772</v>
      </c>
      <c r="D23" s="8" t="s">
        <v>3</v>
      </c>
      <c r="E23" s="1"/>
    </row>
    <row r="24" spans="1:5" ht="15" customHeight="1" x14ac:dyDescent="0.25">
      <c r="A24" s="1"/>
      <c r="B24" s="45" t="s">
        <v>22</v>
      </c>
      <c r="C24" s="10">
        <f>SUM(C9,C14:C23)</f>
        <v>118150930.49860147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omk.'!C16+'Fane 6. Ikke-påvirkelige omk.'!C20+'Fane 6. Ikke-påvirkelige omk.'!C28</f>
        <v>6698272.2059782799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5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6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6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5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52063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124901265.70457974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195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8" t="s">
        <v>28</v>
      </c>
      <c r="C9" s="7">
        <f>'Fane 2.1. Økonomisk ramme 2021'!C24</f>
        <v>118150930.49860147</v>
      </c>
      <c r="D9" s="8" t="s">
        <v>3</v>
      </c>
      <c r="E9" s="1"/>
    </row>
    <row r="10" spans="1:5" ht="15" customHeight="1" x14ac:dyDescent="0.25">
      <c r="A10" s="1"/>
      <c r="B10" s="46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6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1441441.352082938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-881747.30075562943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-2076387.6873548313</v>
      </c>
      <c r="D15" s="8" t="s">
        <v>3</v>
      </c>
      <c r="E15" s="1"/>
    </row>
    <row r="16" spans="1:5" ht="15" customHeight="1" x14ac:dyDescent="0.25">
      <c r="A16" s="1"/>
      <c r="B16" s="42" t="s">
        <v>22</v>
      </c>
      <c r="C16" s="10">
        <f>SUM(C9:C15)</f>
        <v>116634236.86257394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omk.'!C16*(1+'Fane 14. Nøgletal'!C13)+'Fane 6. Ikke-påvirkelige omk.'!C21+'Fane 6. Ikke-påvirkelige omk.'!C29</f>
        <v>6759181.431891215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5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6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6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5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-9311859.4226288497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114081558.8718363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196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155</v>
      </c>
      <c r="C8" s="7">
        <f>'Fane 2.2. Økonomisk ramme 2022'!C16</f>
        <v>116634236.86257394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1422937.689723402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-874654.52546835109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-2043922.3276691947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115138597.6991598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omk.'!C16*(1+'Fane 14. Nøgletal'!C13)^2+'Fane 6. Ikke-påvirkelige omk.'!C22+'Fane 6. Ikke-påvirkelige omk.'!C30</f>
        <v>6820838.7905602874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-9311859.4226288497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112647577.06709124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197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198</v>
      </c>
      <c r="C8" s="7">
        <f>'Fane 2.3. Økonomisk ramme 2023'!C15</f>
        <v>115138597.6991598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1404690.8919297496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-867618.80446548376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-2011964.5801149232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113663705.20650914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omk.'!C16*(1+'Fane 14. Nøgletal'!C13)^3+'Fane 6. Ikke-påvirkelige omk.'!C23+'Fane 6. Ikke-påvirkelige omk.'!C31</f>
        <v>6883261.4580051238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120546966.66451427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200</v>
      </c>
      <c r="C3" s="76"/>
      <c r="D3" s="76"/>
      <c r="E3" s="76"/>
      <c r="F3" s="76"/>
      <c r="G3" s="1"/>
    </row>
    <row r="4" spans="1:7" ht="29.2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77" t="s">
        <v>25</v>
      </c>
      <c r="C9" s="78"/>
      <c r="D9" s="79"/>
      <c r="E9" s="7">
        <v>116407896.93688841</v>
      </c>
      <c r="F9" s="8" t="s">
        <v>3</v>
      </c>
      <c r="G9" s="1"/>
    </row>
    <row r="10" spans="1:7" x14ac:dyDescent="0.25">
      <c r="A10" s="1"/>
      <c r="B10" s="83" t="s">
        <v>233</v>
      </c>
      <c r="C10" s="84"/>
      <c r="D10" s="85"/>
      <c r="E10" s="7">
        <v>817364.967386181</v>
      </c>
      <c r="F10" s="8" t="s">
        <v>3</v>
      </c>
      <c r="G10" s="1"/>
    </row>
    <row r="11" spans="1:7" x14ac:dyDescent="0.25">
      <c r="A11" s="1"/>
      <c r="B11" s="83" t="s">
        <v>234</v>
      </c>
      <c r="C11" s="84"/>
      <c r="D11" s="85"/>
      <c r="E11" s="7">
        <v>1031483.5707816737</v>
      </c>
      <c r="F11" s="8" t="s">
        <v>3</v>
      </c>
      <c r="G11" s="1"/>
    </row>
    <row r="12" spans="1:7" x14ac:dyDescent="0.25">
      <c r="A12" s="1"/>
      <c r="B12" s="80" t="s">
        <v>46</v>
      </c>
      <c r="C12" s="81"/>
      <c r="D12" s="82"/>
      <c r="E12" s="7">
        <v>1542391.0821</v>
      </c>
      <c r="F12" s="8" t="s">
        <v>3</v>
      </c>
      <c r="G12" s="1"/>
    </row>
    <row r="13" spans="1:7" x14ac:dyDescent="0.25">
      <c r="A13" s="1"/>
      <c r="B13" s="80" t="s">
        <v>47</v>
      </c>
      <c r="C13" s="81"/>
      <c r="D13" s="82"/>
      <c r="E13" s="9">
        <v>26081.750640000002</v>
      </c>
      <c r="F13" s="8" t="s">
        <v>3</v>
      </c>
      <c r="G13" s="1"/>
    </row>
    <row r="14" spans="1:7" x14ac:dyDescent="0.25">
      <c r="A14" s="1"/>
      <c r="B14" s="80" t="s">
        <v>32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31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193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194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20</v>
      </c>
      <c r="C18" s="81"/>
      <c r="D18" s="82"/>
      <c r="E18" s="9">
        <f>(E9-SUM(E10:E11))*'Fane 14. Nøgletal'!C10+SUM(E10:E11)*'Fane 14. Nøgletal'!C11+SUM(E12:E17)*'Fane 14. Nøgletal'!C12</f>
        <v>2066927.8020776249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80" t="s">
        <v>29</v>
      </c>
      <c r="C20" s="81"/>
      <c r="D20" s="82"/>
      <c r="E20" s="9">
        <f>-'Fane 4.1. Gen. krav - drift'!G28</f>
        <v>-899663.50327532634</v>
      </c>
      <c r="F20" s="8" t="s">
        <v>3</v>
      </c>
      <c r="G20" s="1"/>
    </row>
    <row r="21" spans="1:7" x14ac:dyDescent="0.25">
      <c r="A21" s="1"/>
      <c r="B21" s="80" t="s">
        <v>30</v>
      </c>
      <c r="C21" s="81"/>
      <c r="D21" s="82"/>
      <c r="E21" s="9">
        <f>-'Fane 4.2. Gen. krav - anlæg'!G27</f>
        <v>-1319408.4983364479</v>
      </c>
      <c r="F21" s="8" t="s">
        <v>3</v>
      </c>
      <c r="G21" s="1"/>
    </row>
    <row r="22" spans="1:7" x14ac:dyDescent="0.25">
      <c r="A22" s="1"/>
      <c r="B22" s="92" t="s">
        <v>22</v>
      </c>
      <c r="C22" s="93"/>
      <c r="D22" s="94"/>
      <c r="E22" s="10">
        <f>SUM(E9,E12:E21)</f>
        <v>117824225.57009427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89" t="s">
        <v>13</v>
      </c>
      <c r="C24" s="90"/>
      <c r="D24" s="91"/>
      <c r="E24" s="10">
        <v>6086085.2478809506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95" t="s">
        <v>111</v>
      </c>
      <c r="C26" s="96"/>
      <c r="D26" s="97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3" t="s">
        <v>106</v>
      </c>
      <c r="C28" s="84"/>
      <c r="D28" s="85"/>
      <c r="E28" s="34">
        <v>0</v>
      </c>
      <c r="F28" s="8" t="s">
        <v>3</v>
      </c>
      <c r="G28" s="1"/>
    </row>
    <row r="29" spans="1:7" ht="15.75" customHeight="1" x14ac:dyDescent="0.25">
      <c r="A29" s="1"/>
      <c r="B29" s="83" t="s">
        <v>107</v>
      </c>
      <c r="C29" s="84"/>
      <c r="D29" s="85"/>
      <c r="E29" s="34">
        <v>0</v>
      </c>
      <c r="F29" s="8" t="s">
        <v>3</v>
      </c>
      <c r="G29" s="1"/>
    </row>
    <row r="30" spans="1:7" x14ac:dyDescent="0.25">
      <c r="A30" s="1"/>
      <c r="B30" s="45" t="s">
        <v>112</v>
      </c>
      <c r="C30" s="43"/>
      <c r="D30" s="44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89" t="s">
        <v>267</v>
      </c>
      <c r="C32" s="90"/>
      <c r="D32" s="91"/>
      <c r="E32" s="10">
        <v>0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89" t="s">
        <v>269</v>
      </c>
      <c r="C34" s="90"/>
      <c r="D34" s="91"/>
      <c r="E34" s="10">
        <v>-53486.541924098907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123856824.27605112</v>
      </c>
      <c r="F35" s="13" t="s">
        <v>3</v>
      </c>
      <c r="G35" s="1"/>
    </row>
    <row r="36" spans="1:7" ht="26.85" customHeight="1" x14ac:dyDescent="0.25">
      <c r="A36" s="1"/>
      <c r="B36" s="86" t="s">
        <v>202</v>
      </c>
      <c r="C36" s="87"/>
      <c r="D36" s="87"/>
      <c r="E36" s="87"/>
      <c r="F36" s="8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6" t="s">
        <v>167</v>
      </c>
      <c r="C1" s="76"/>
      <c r="D1" s="76"/>
      <c r="E1" s="76"/>
      <c r="F1" s="76"/>
      <c r="G1" s="76"/>
      <c r="H1" s="76"/>
      <c r="I1" s="1"/>
    </row>
    <row r="2" spans="1:9" ht="15" customHeight="1" x14ac:dyDescent="0.25">
      <c r="A2" s="1"/>
      <c r="B2" s="76"/>
      <c r="C2" s="76"/>
      <c r="D2" s="76"/>
      <c r="E2" s="76"/>
      <c r="F2" s="76"/>
      <c r="G2" s="76"/>
      <c r="H2" s="76"/>
      <c r="I2" s="1"/>
    </row>
    <row r="3" spans="1:9" ht="15" customHeight="1" x14ac:dyDescent="0.25">
      <c r="A3" s="1"/>
      <c r="B3" s="76"/>
      <c r="C3" s="76"/>
      <c r="D3" s="76"/>
      <c r="E3" s="76"/>
      <c r="F3" s="76"/>
      <c r="G3" s="76"/>
      <c r="H3" s="76"/>
      <c r="I3" s="1"/>
    </row>
    <row r="4" spans="1:9" x14ac:dyDescent="0.25">
      <c r="A4" s="1"/>
      <c r="B4" s="98" t="s">
        <v>66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55</v>
      </c>
      <c r="C5" s="102"/>
      <c r="D5" s="102"/>
      <c r="E5" s="102"/>
      <c r="F5" s="103"/>
      <c r="G5" s="24">
        <v>41253662.374984488</v>
      </c>
      <c r="H5" s="14" t="s">
        <v>3</v>
      </c>
      <c r="I5" s="1"/>
    </row>
    <row r="6" spans="1:9" x14ac:dyDescent="0.25">
      <c r="A6" s="1"/>
      <c r="B6" s="86" t="s">
        <v>183</v>
      </c>
      <c r="C6" s="87"/>
      <c r="D6" s="87"/>
      <c r="E6" s="87"/>
      <c r="F6" s="88"/>
      <c r="G6" s="24">
        <v>0</v>
      </c>
      <c r="H6" s="14" t="s">
        <v>3</v>
      </c>
      <c r="I6" s="1"/>
    </row>
    <row r="7" spans="1:9" x14ac:dyDescent="0.25">
      <c r="A7" s="1"/>
      <c r="B7" s="101" t="s">
        <v>56</v>
      </c>
      <c r="C7" s="102"/>
      <c r="D7" s="102"/>
      <c r="E7" s="102"/>
      <c r="F7" s="103"/>
      <c r="G7" s="24">
        <f>SUM(G5:G6)*'Fane 14. Nøgletal'!C27</f>
        <v>825073.24749968981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67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57</v>
      </c>
      <c r="C11" s="102"/>
      <c r="D11" s="102"/>
      <c r="E11" s="102"/>
      <c r="F11" s="103"/>
      <c r="G11" s="24">
        <f>(G5-G7)*(1+'Fane 14. Nøgletal'!C10)</f>
        <v>41136089.437215783</v>
      </c>
      <c r="H11" s="14" t="s">
        <v>3</v>
      </c>
      <c r="I11" s="1"/>
    </row>
    <row r="12" spans="1:9" x14ac:dyDescent="0.25">
      <c r="A12" s="1"/>
      <c r="B12" s="101" t="s">
        <v>185</v>
      </c>
      <c r="C12" s="102"/>
      <c r="D12" s="102"/>
      <c r="E12" s="102"/>
      <c r="F12" s="103"/>
      <c r="G12" s="24">
        <v>0</v>
      </c>
      <c r="H12" s="14" t="s">
        <v>3</v>
      </c>
      <c r="I12" s="1"/>
    </row>
    <row r="13" spans="1:9" x14ac:dyDescent="0.25">
      <c r="A13" s="1"/>
      <c r="B13" s="86" t="s">
        <v>182</v>
      </c>
      <c r="C13" s="87"/>
      <c r="D13" s="87"/>
      <c r="E13" s="87"/>
      <c r="F13" s="88"/>
      <c r="G13" s="24">
        <v>0</v>
      </c>
      <c r="H13" s="14" t="s">
        <v>3</v>
      </c>
      <c r="I13" s="1"/>
    </row>
    <row r="14" spans="1:9" x14ac:dyDescent="0.25">
      <c r="A14" s="1"/>
      <c r="B14" s="109" t="s">
        <v>58</v>
      </c>
      <c r="C14" s="107"/>
      <c r="D14" s="107"/>
      <c r="E14" s="107"/>
      <c r="F14" s="108"/>
      <c r="G14" s="24">
        <v>1686874.1678250001</v>
      </c>
      <c r="H14" s="14" t="s">
        <v>3</v>
      </c>
      <c r="I14" s="1"/>
    </row>
    <row r="15" spans="1:9" x14ac:dyDescent="0.25">
      <c r="A15" s="1"/>
      <c r="B15" s="101" t="s">
        <v>59</v>
      </c>
      <c r="C15" s="102"/>
      <c r="D15" s="102"/>
      <c r="E15" s="102"/>
      <c r="F15" s="103"/>
      <c r="G15" s="24">
        <f>SUM(G11:G14)*'Fane 14. Nøgletal'!C27</f>
        <v>856459.27210081567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8" t="s">
        <v>68</v>
      </c>
      <c r="C18" s="99"/>
      <c r="D18" s="99"/>
      <c r="E18" s="99"/>
      <c r="F18" s="99"/>
      <c r="G18" s="99"/>
      <c r="H18" s="100"/>
      <c r="I18" s="1"/>
    </row>
    <row r="19" spans="1:9" x14ac:dyDescent="0.25">
      <c r="A19" s="1"/>
      <c r="B19" s="101" t="s">
        <v>60</v>
      </c>
      <c r="C19" s="102"/>
      <c r="D19" s="102"/>
      <c r="E19" s="102"/>
      <c r="F19" s="103"/>
      <c r="G19" s="24">
        <f>(G11+G12+G14-G15)*(1+'Fane 14. Nøgletal'!C10)</f>
        <v>42700918.158766419</v>
      </c>
      <c r="H19" s="14" t="s">
        <v>3</v>
      </c>
      <c r="I19" s="1"/>
    </row>
    <row r="20" spans="1:9" x14ac:dyDescent="0.25">
      <c r="A20" s="1"/>
      <c r="B20" s="109" t="s">
        <v>61</v>
      </c>
      <c r="C20" s="107"/>
      <c r="D20" s="107"/>
      <c r="E20" s="107"/>
      <c r="F20" s="108"/>
      <c r="G20" s="24">
        <v>834045.88508793979</v>
      </c>
      <c r="H20" s="14" t="s">
        <v>3</v>
      </c>
      <c r="I20" s="1"/>
    </row>
    <row r="21" spans="1:9" x14ac:dyDescent="0.25">
      <c r="A21" s="1"/>
      <c r="B21" s="101" t="s">
        <v>62</v>
      </c>
      <c r="C21" s="102"/>
      <c r="D21" s="102"/>
      <c r="E21" s="102"/>
      <c r="F21" s="103"/>
      <c r="G21" s="24">
        <f>(G19+G20)*'Fane 14. Nøgletal'!C27</f>
        <v>870699.28087708715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8" t="s">
        <v>69</v>
      </c>
      <c r="C24" s="99"/>
      <c r="D24" s="99"/>
      <c r="E24" s="99"/>
      <c r="F24" s="99"/>
      <c r="G24" s="99"/>
      <c r="H24" s="100"/>
      <c r="I24" s="1"/>
    </row>
    <row r="25" spans="1:9" x14ac:dyDescent="0.25">
      <c r="A25" s="1"/>
      <c r="B25" s="101" t="s">
        <v>63</v>
      </c>
      <c r="C25" s="102"/>
      <c r="D25" s="102"/>
      <c r="E25" s="102"/>
      <c r="F25" s="103"/>
      <c r="G25" s="24">
        <f>G19*(1-'Fane 14. Nøgletal'!C27)*(1+'Fane 14. Nøgletal'!C10)+G20*(1-'Fane 14. Nøgletal'!C27)*(1+'Fane 14. Nøgletal'!C11)</f>
        <v>43410398.977348946</v>
      </c>
      <c r="H25" s="14" t="s">
        <v>3</v>
      </c>
      <c r="I25" s="1"/>
    </row>
    <row r="26" spans="1:9" x14ac:dyDescent="0.25">
      <c r="A26" s="1"/>
      <c r="B26" s="104" t="s">
        <v>180</v>
      </c>
      <c r="C26" s="105"/>
      <c r="D26" s="105"/>
      <c r="E26" s="105"/>
      <c r="F26" s="106"/>
      <c r="G26" s="24">
        <f>G20*(1-'Fane 14. Nøgletal'!C27)*(1+'Fane 14. Nøgletal'!C11)</f>
        <v>831178.43533500738</v>
      </c>
      <c r="H26" s="14" t="s">
        <v>3</v>
      </c>
      <c r="I26" s="1"/>
    </row>
    <row r="27" spans="1:9" x14ac:dyDescent="0.25">
      <c r="A27" s="1"/>
      <c r="B27" s="109" t="s">
        <v>64</v>
      </c>
      <c r="C27" s="107"/>
      <c r="D27" s="107"/>
      <c r="E27" s="107"/>
      <c r="F27" s="108"/>
      <c r="G27" s="24">
        <v>1572776.1864173701</v>
      </c>
      <c r="H27" s="14" t="s">
        <v>3</v>
      </c>
      <c r="I27" s="1"/>
    </row>
    <row r="28" spans="1:9" x14ac:dyDescent="0.25">
      <c r="A28" s="1"/>
      <c r="B28" s="101" t="s">
        <v>65</v>
      </c>
      <c r="C28" s="102"/>
      <c r="D28" s="102"/>
      <c r="E28" s="102"/>
      <c r="F28" s="103"/>
      <c r="G28" s="24">
        <f>SUM(G25,G27)*'Fane 14. Nøgletal'!C27</f>
        <v>899663.50327532634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8" t="s">
        <v>72</v>
      </c>
      <c r="C31" s="99"/>
      <c r="D31" s="99"/>
      <c r="E31" s="99"/>
      <c r="F31" s="99"/>
      <c r="G31" s="99"/>
      <c r="H31" s="100"/>
      <c r="I31" s="1"/>
    </row>
    <row r="32" spans="1:9" x14ac:dyDescent="0.25">
      <c r="A32" s="1"/>
      <c r="B32" s="101" t="s">
        <v>73</v>
      </c>
      <c r="C32" s="102"/>
      <c r="D32" s="102"/>
      <c r="E32" s="102"/>
      <c r="F32" s="103"/>
      <c r="G32" s="24">
        <f>(G25-G26)*(1-'Fane 14. Nøgletal'!C27)*(1+'Fane 14. Nøgletal'!C10)+G26*(1-'Fane 14. Nøgletal'!C27)*(1+'Fane 14. Nøgletal'!C11)+G27*(1-'Fane 14. Nøgletal'!C27)*(1+'Fane 14. Nøgletal'!C12)</f>
        <v>44857875.287087522</v>
      </c>
      <c r="H32" s="14" t="s">
        <v>3</v>
      </c>
      <c r="I32" s="1"/>
    </row>
    <row r="33" spans="1:9" x14ac:dyDescent="0.25">
      <c r="A33" s="1"/>
      <c r="B33" s="104" t="s">
        <v>180</v>
      </c>
      <c r="C33" s="107"/>
      <c r="D33" s="107"/>
      <c r="E33" s="107"/>
      <c r="F33" s="108"/>
      <c r="G33" s="24">
        <f>G26*(1-'Fane 14. Nøgletal'!C27)*(1+'Fane 14. Nøgletal'!C11)</f>
        <v>828320.84387432563</v>
      </c>
      <c r="H33" s="14" t="s">
        <v>3</v>
      </c>
      <c r="I33" s="1"/>
    </row>
    <row r="34" spans="1:9" x14ac:dyDescent="0.25">
      <c r="A34" s="1"/>
      <c r="B34" s="104" t="s">
        <v>181</v>
      </c>
      <c r="C34" s="107"/>
      <c r="D34" s="107"/>
      <c r="E34" s="107"/>
      <c r="F34" s="108"/>
      <c r="G34" s="24">
        <f>G27*(1-'Fane 14. Nøgletal'!C27)*(1+'Fane 14. Nøgletal'!C12)</f>
        <v>1571684.6797439966</v>
      </c>
      <c r="H34" s="14" t="s">
        <v>3</v>
      </c>
      <c r="I34" s="1"/>
    </row>
    <row r="35" spans="1:9" x14ac:dyDescent="0.25">
      <c r="A35" s="1"/>
      <c r="B35" s="101" t="s">
        <v>239</v>
      </c>
      <c r="C35" s="102"/>
      <c r="D35" s="102"/>
      <c r="E35" s="102"/>
      <c r="F35" s="103"/>
      <c r="G35" s="24">
        <f>SUM('Fane 2.1. Økonomisk ramme 2021'!C14,'Fane 2.1. Økonomisk ramme 2021'!C16,'Fane 2.1. Økonomisk ramme 2021'!C18)*(1+'Fane 14. Nøgletal'!C13)</f>
        <v>-412995.63740399998</v>
      </c>
      <c r="H35" s="14" t="s">
        <v>3</v>
      </c>
      <c r="I35" s="1"/>
    </row>
    <row r="36" spans="1:9" x14ac:dyDescent="0.25">
      <c r="A36" s="1"/>
      <c r="B36" s="101" t="s">
        <v>74</v>
      </c>
      <c r="C36" s="102"/>
      <c r="D36" s="102"/>
      <c r="E36" s="102"/>
      <c r="F36" s="103"/>
      <c r="G36" s="24">
        <f>SUM(G32,G35)*'Fane 14. Nøgletal'!C27</f>
        <v>888897.59299367038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8" t="s">
        <v>99</v>
      </c>
      <c r="C39" s="99"/>
      <c r="D39" s="99"/>
      <c r="E39" s="99"/>
      <c r="F39" s="99"/>
      <c r="G39" s="99"/>
      <c r="H39" s="100"/>
      <c r="I39" s="1"/>
    </row>
    <row r="40" spans="1:9" x14ac:dyDescent="0.25">
      <c r="A40" s="1"/>
      <c r="B40" s="101" t="s">
        <v>98</v>
      </c>
      <c r="C40" s="102"/>
      <c r="D40" s="102"/>
      <c r="E40" s="102"/>
      <c r="F40" s="103"/>
      <c r="G40" s="24">
        <f>(SUM(G32,G35)-G36)*(1+'Fane 14. Nøgletal'!C13)</f>
        <v>44087365.03778147</v>
      </c>
      <c r="H40" s="14" t="s">
        <v>3</v>
      </c>
      <c r="I40" s="1"/>
    </row>
    <row r="41" spans="1:9" x14ac:dyDescent="0.25">
      <c r="A41" s="1"/>
      <c r="B41" s="101" t="s">
        <v>114</v>
      </c>
      <c r="C41" s="102"/>
      <c r="D41" s="102"/>
      <c r="E41" s="102"/>
      <c r="F41" s="103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101" t="s">
        <v>75</v>
      </c>
      <c r="C42" s="102"/>
      <c r="D42" s="102"/>
      <c r="E42" s="102"/>
      <c r="F42" s="103"/>
      <c r="G42" s="24">
        <f>(G40+G41)*'Fane 14. Nøgletal'!C27</f>
        <v>881747.30075562943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8" t="s">
        <v>100</v>
      </c>
      <c r="C45" s="99"/>
      <c r="D45" s="99"/>
      <c r="E45" s="99"/>
      <c r="F45" s="99"/>
      <c r="G45" s="99"/>
      <c r="H45" s="100"/>
      <c r="I45" s="1"/>
    </row>
    <row r="46" spans="1:9" x14ac:dyDescent="0.25">
      <c r="A46" s="1"/>
      <c r="B46" s="101" t="s">
        <v>97</v>
      </c>
      <c r="C46" s="102"/>
      <c r="D46" s="102"/>
      <c r="E46" s="102"/>
      <c r="F46" s="103"/>
      <c r="G46" s="24">
        <f>(G40+G41-G42)*(1+'Fane 14. Nøgletal'!C13)</f>
        <v>43732726.273417555</v>
      </c>
      <c r="H46" s="14" t="s">
        <v>3</v>
      </c>
      <c r="I46" s="1"/>
    </row>
    <row r="47" spans="1:9" x14ac:dyDescent="0.25">
      <c r="A47" s="1"/>
      <c r="B47" s="101" t="s">
        <v>115</v>
      </c>
      <c r="C47" s="102"/>
      <c r="D47" s="102"/>
      <c r="E47" s="102"/>
      <c r="F47" s="103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101" t="s">
        <v>76</v>
      </c>
      <c r="C48" s="102"/>
      <c r="D48" s="102"/>
      <c r="E48" s="102"/>
      <c r="F48" s="103"/>
      <c r="G48" s="24">
        <f>(G46+G47)*'Fane 14. Nøgletal'!C27</f>
        <v>874654.52546835109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98" t="s">
        <v>240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1" t="s">
        <v>241</v>
      </c>
      <c r="C53" s="102"/>
      <c r="D53" s="102"/>
      <c r="E53" s="102"/>
      <c r="F53" s="103"/>
      <c r="G53" s="24">
        <f>(G46+G47-G48)*(1+'Fane 14. Nøgletal'!C13)</f>
        <v>43380940.223274186</v>
      </c>
      <c r="H53" s="14" t="s">
        <v>3</v>
      </c>
      <c r="I53" s="1"/>
    </row>
    <row r="54" spans="1:9" x14ac:dyDescent="0.25">
      <c r="A54" s="1"/>
      <c r="B54" s="101" t="s">
        <v>242</v>
      </c>
      <c r="C54" s="102"/>
      <c r="D54" s="102"/>
      <c r="E54" s="102"/>
      <c r="F54" s="103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101" t="s">
        <v>243</v>
      </c>
      <c r="C55" s="102"/>
      <c r="D55" s="102"/>
      <c r="E55" s="102"/>
      <c r="F55" s="103"/>
      <c r="G55" s="24">
        <f>(G53+G54)*'Fane 14. Nøgletal'!C27</f>
        <v>867618.80446548376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0" t="s">
        <v>166</v>
      </c>
      <c r="C2" s="110"/>
      <c r="D2" s="110"/>
      <c r="E2" s="110"/>
      <c r="F2" s="110"/>
      <c r="G2" s="110"/>
      <c r="H2" s="110"/>
      <c r="I2" s="1"/>
    </row>
    <row r="3" spans="1:9" ht="28.5" customHeight="1" x14ac:dyDescent="0.25">
      <c r="A3" s="1"/>
      <c r="B3" s="110"/>
      <c r="C3" s="110"/>
      <c r="D3" s="110"/>
      <c r="E3" s="110"/>
      <c r="F3" s="110"/>
      <c r="G3" s="110"/>
      <c r="H3" s="110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98" t="s">
        <v>70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77</v>
      </c>
      <c r="C6" s="102"/>
      <c r="D6" s="102"/>
      <c r="E6" s="102"/>
      <c r="F6" s="103"/>
      <c r="G6" s="24">
        <v>72295508.134889811</v>
      </c>
      <c r="H6" s="14" t="s">
        <v>3</v>
      </c>
      <c r="I6" s="1"/>
    </row>
    <row r="7" spans="1:9" x14ac:dyDescent="0.25">
      <c r="A7" s="1"/>
      <c r="B7" s="101" t="s">
        <v>71</v>
      </c>
      <c r="C7" s="102"/>
      <c r="D7" s="102"/>
      <c r="E7" s="102"/>
      <c r="F7" s="103"/>
      <c r="G7" s="24">
        <f>G6*'Fane 14. Nøgletal'!C18</f>
        <v>657889.12402749737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78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79</v>
      </c>
      <c r="C11" s="102"/>
      <c r="D11" s="102"/>
      <c r="E11" s="102"/>
      <c r="F11" s="103"/>
      <c r="G11" s="24">
        <f>(G6-G7)*(1+'Fane 14. Nøgletal'!C10)</f>
        <v>72891277.343552411</v>
      </c>
      <c r="H11" s="14" t="s">
        <v>3</v>
      </c>
      <c r="I11" s="1"/>
    </row>
    <row r="12" spans="1:9" x14ac:dyDescent="0.25">
      <c r="A12" s="1"/>
      <c r="B12" s="101" t="s">
        <v>186</v>
      </c>
      <c r="C12" s="102"/>
      <c r="D12" s="102"/>
      <c r="E12" s="102"/>
      <c r="F12" s="103"/>
      <c r="G12" s="24">
        <v>1168818.8840855777</v>
      </c>
      <c r="H12" s="14" t="s">
        <v>3</v>
      </c>
      <c r="I12" s="1"/>
    </row>
    <row r="13" spans="1:9" x14ac:dyDescent="0.25">
      <c r="A13" s="1"/>
      <c r="B13" s="109" t="s">
        <v>80</v>
      </c>
      <c r="C13" s="107"/>
      <c r="D13" s="107"/>
      <c r="E13" s="107"/>
      <c r="F13" s="108"/>
      <c r="G13" s="24">
        <v>0</v>
      </c>
      <c r="H13" s="14" t="s">
        <v>3</v>
      </c>
      <c r="I13" s="1"/>
    </row>
    <row r="14" spans="1:9" x14ac:dyDescent="0.25">
      <c r="A14" s="1"/>
      <c r="B14" s="101" t="s">
        <v>81</v>
      </c>
      <c r="C14" s="102"/>
      <c r="D14" s="102"/>
      <c r="E14" s="102"/>
      <c r="F14" s="103"/>
      <c r="G14" s="24">
        <f>SUM(G11:G13)*'Fane 14. Nøgletal'!C19</f>
        <v>1310863.7032291924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8" t="s">
        <v>82</v>
      </c>
      <c r="C17" s="99"/>
      <c r="D17" s="99"/>
      <c r="E17" s="99"/>
      <c r="F17" s="99"/>
      <c r="G17" s="99"/>
      <c r="H17" s="100"/>
      <c r="I17" s="1"/>
    </row>
    <row r="18" spans="1:9" x14ac:dyDescent="0.25">
      <c r="A18" s="1"/>
      <c r="B18" s="101" t="s">
        <v>83</v>
      </c>
      <c r="C18" s="102"/>
      <c r="D18" s="102"/>
      <c r="E18" s="102"/>
      <c r="F18" s="103"/>
      <c r="G18" s="24">
        <f>(G11+G12+G13-G14)*(1+'Fane 14. Nøgletal'!C10)</f>
        <v>74022344.093585968</v>
      </c>
      <c r="H18" s="14" t="s">
        <v>3</v>
      </c>
      <c r="I18" s="1"/>
    </row>
    <row r="19" spans="1:9" x14ac:dyDescent="0.25">
      <c r="A19" s="1"/>
      <c r="B19" s="109" t="s">
        <v>84</v>
      </c>
      <c r="C19" s="107"/>
      <c r="D19" s="107"/>
      <c r="E19" s="107"/>
      <c r="F19" s="108"/>
      <c r="G19" s="24">
        <v>1040536.2360351798</v>
      </c>
      <c r="H19" s="14" t="s">
        <v>3</v>
      </c>
      <c r="I19" s="1"/>
    </row>
    <row r="20" spans="1:9" x14ac:dyDescent="0.25">
      <c r="A20" s="1"/>
      <c r="B20" s="101" t="s">
        <v>85</v>
      </c>
      <c r="C20" s="102"/>
      <c r="D20" s="102"/>
      <c r="E20" s="102"/>
      <c r="F20" s="103"/>
      <c r="G20" s="24">
        <f>G18*'Fane 14. Nøgletal'!C19+G19*'Fane 14. Nøgletal'!C20</f>
        <v>1319248.1557099777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86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87</v>
      </c>
      <c r="C24" s="102"/>
      <c r="D24" s="102"/>
      <c r="E24" s="102"/>
      <c r="F24" s="103"/>
      <c r="G24" s="24">
        <f>G18*(1-'Fane 14. Nøgletal'!C19)*(1+'Fane 14. Nøgletal'!C10)+G19*(1-'Fane 14. Nøgletal'!C20)*(1+'Fane 14. Nøgletal'!C11)</f>
        <v>75033526.846812144</v>
      </c>
      <c r="H24" s="14" t="s">
        <v>3</v>
      </c>
      <c r="I24" s="1"/>
    </row>
    <row r="25" spans="1:9" x14ac:dyDescent="0.25">
      <c r="A25" s="1"/>
      <c r="B25" s="104" t="s">
        <v>177</v>
      </c>
      <c r="C25" s="107"/>
      <c r="D25" s="107"/>
      <c r="E25" s="107"/>
      <c r="F25" s="108"/>
      <c r="G25" s="24">
        <f>G19*(1-'Fane 14. Nøgletal'!C20)*(1+'Fane 14. Nøgletal'!C11)</f>
        <v>1048915.6431278838</v>
      </c>
      <c r="H25" s="14" t="s">
        <v>3</v>
      </c>
      <c r="I25" s="1"/>
    </row>
    <row r="26" spans="1:9" x14ac:dyDescent="0.25">
      <c r="A26" s="1"/>
      <c r="B26" s="109" t="s">
        <v>88</v>
      </c>
      <c r="C26" s="107"/>
      <c r="D26" s="107"/>
      <c r="E26" s="107"/>
      <c r="F26" s="108"/>
      <c r="G26" s="24">
        <v>26595.561127608002</v>
      </c>
      <c r="H26" s="14" t="s">
        <v>3</v>
      </c>
      <c r="I26" s="1"/>
    </row>
    <row r="27" spans="1:9" x14ac:dyDescent="0.25">
      <c r="A27" s="1"/>
      <c r="B27" s="101" t="s">
        <v>89</v>
      </c>
      <c r="C27" s="102"/>
      <c r="D27" s="102"/>
      <c r="E27" s="102"/>
      <c r="F27" s="103"/>
      <c r="G27" s="24">
        <f>(G24-G25)*'Fane 14. Nøgletal'!C19+G25*'Fane 14. Nøgletal'!C20+G26*'Fane 14. Nøgletal'!C21</f>
        <v>1319408.4983364479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8" t="s">
        <v>90</v>
      </c>
      <c r="C30" s="99"/>
      <c r="D30" s="99"/>
      <c r="E30" s="99"/>
      <c r="F30" s="99"/>
      <c r="G30" s="99"/>
      <c r="H30" s="100"/>
      <c r="I30" s="1"/>
    </row>
    <row r="31" spans="1:9" x14ac:dyDescent="0.25">
      <c r="A31" s="1"/>
      <c r="B31" s="101" t="s">
        <v>91</v>
      </c>
      <c r="C31" s="102"/>
      <c r="D31" s="102"/>
      <c r="E31" s="102"/>
      <c r="F31" s="103"/>
      <c r="G31" s="24">
        <f>(G24-G25)*(1-'Fane 14. Nøgletal'!C19)*(1+'Fane 14. Nøgletal'!C10)+G25*(1-'Fane 14. Nøgletal'!C20)*(1+'Fane 14. Nøgletal'!C11)+G26*(1-'Fane 14. Nøgletal'!C21)*(1+'Fane 14. Nøgletal'!C12)</f>
        <v>75030609.377518952</v>
      </c>
      <c r="H31" s="14" t="s">
        <v>3</v>
      </c>
      <c r="I31" s="1"/>
    </row>
    <row r="32" spans="1:9" x14ac:dyDescent="0.25">
      <c r="A32" s="1"/>
      <c r="B32" s="104" t="s">
        <v>178</v>
      </c>
      <c r="C32" s="107"/>
      <c r="D32" s="107"/>
      <c r="E32" s="107"/>
      <c r="F32" s="108"/>
      <c r="G32" s="24">
        <f>G25*(1-'Fane 14. Nøgletal'!C20)*(1+'Fane 14. Nøgletal'!C11)</f>
        <v>1057362.5293345232</v>
      </c>
      <c r="H32" s="14" t="s">
        <v>3</v>
      </c>
      <c r="I32" s="1"/>
    </row>
    <row r="33" spans="1:9" x14ac:dyDescent="0.25">
      <c r="A33" s="1"/>
      <c r="B33" s="104" t="s">
        <v>179</v>
      </c>
      <c r="C33" s="107"/>
      <c r="D33" s="107"/>
      <c r="E33" s="107"/>
      <c r="F33" s="108"/>
      <c r="G33" s="24">
        <f>G26*(1-'Fane 14. Nøgletal'!C21)*(1+'Fane 14. Nøgletal'!C12)</f>
        <v>26349.300061258138</v>
      </c>
      <c r="H33" s="14" t="s">
        <v>3</v>
      </c>
      <c r="I33" s="1"/>
    </row>
    <row r="34" spans="1:9" x14ac:dyDescent="0.25">
      <c r="A34" s="1"/>
      <c r="B34" s="101" t="s">
        <v>244</v>
      </c>
      <c r="C34" s="102"/>
      <c r="D34" s="102"/>
      <c r="E34" s="102"/>
      <c r="F34" s="103"/>
      <c r="G34" s="24">
        <f>SUM('Fane 2.1. Økonomisk ramme 2021'!C15,'Fane 2.1. Økonomisk ramme 2021'!C17,'Fane 2.1. Økonomisk ramme 2021'!C19)*(1+'Fane 14. Nøgletal'!C13)</f>
        <v>908119.82017626241</v>
      </c>
      <c r="H34" s="14" t="s">
        <v>3</v>
      </c>
      <c r="I34" s="1"/>
    </row>
    <row r="35" spans="1:9" x14ac:dyDescent="0.25">
      <c r="A35" s="1"/>
      <c r="B35" s="101" t="s">
        <v>92</v>
      </c>
      <c r="C35" s="102"/>
      <c r="D35" s="102"/>
      <c r="E35" s="102"/>
      <c r="F35" s="103"/>
      <c r="G35" s="24">
        <f>(G31-SUM(G32:G33))*'Fane 14. Nøgletal'!C19+G32*'Fane 14. Nøgletal'!C20+G33*'Fane 14. Nøgletal'!C21+G34*'Fane 14. Nøgletal'!C22</f>
        <v>1343780.7557835772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98" t="s">
        <v>101</v>
      </c>
      <c r="C38" s="99"/>
      <c r="D38" s="99"/>
      <c r="E38" s="99"/>
      <c r="F38" s="99"/>
      <c r="G38" s="99"/>
      <c r="H38" s="100"/>
      <c r="I38" s="1"/>
    </row>
    <row r="39" spans="1:9" x14ac:dyDescent="0.25">
      <c r="A39" s="1"/>
      <c r="B39" s="101" t="s">
        <v>96</v>
      </c>
      <c r="C39" s="102"/>
      <c r="D39" s="102"/>
      <c r="E39" s="102"/>
      <c r="F39" s="103"/>
      <c r="G39" s="24">
        <f>(SUM(G31,G34)-G35)*(1+'Fane 14. Nøgletal'!C13)</f>
        <v>75505006.812902957</v>
      </c>
      <c r="H39" s="14" t="s">
        <v>3</v>
      </c>
      <c r="I39" s="1"/>
    </row>
    <row r="40" spans="1:9" x14ac:dyDescent="0.25">
      <c r="A40" s="1"/>
      <c r="B40" s="101" t="s">
        <v>119</v>
      </c>
      <c r="C40" s="102"/>
      <c r="D40" s="102"/>
      <c r="E40" s="102"/>
      <c r="F40" s="103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101" t="s">
        <v>93</v>
      </c>
      <c r="C41" s="102"/>
      <c r="D41" s="102"/>
      <c r="E41" s="102"/>
      <c r="F41" s="103"/>
      <c r="G41" s="24">
        <f>(G39+G40)*'Fane 14. Nøgletal'!C22</f>
        <v>2076387.6873548313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8" t="s">
        <v>102</v>
      </c>
      <c r="C44" s="99"/>
      <c r="D44" s="99"/>
      <c r="E44" s="99"/>
      <c r="F44" s="99"/>
      <c r="G44" s="99"/>
      <c r="H44" s="100"/>
      <c r="I44" s="1"/>
    </row>
    <row r="45" spans="1:9" x14ac:dyDescent="0.25">
      <c r="A45" s="1"/>
      <c r="B45" s="101" t="s">
        <v>95</v>
      </c>
      <c r="C45" s="102"/>
      <c r="D45" s="102"/>
      <c r="E45" s="102"/>
      <c r="F45" s="103"/>
      <c r="G45" s="24">
        <f>(G39+G40-G41)*(1+'Fane 14. Nøgletal'!C13)</f>
        <v>74324448.278879806</v>
      </c>
      <c r="H45" s="14" t="s">
        <v>3</v>
      </c>
      <c r="I45" s="1"/>
    </row>
    <row r="46" spans="1:9" x14ac:dyDescent="0.25">
      <c r="A46" s="1"/>
      <c r="B46" s="101" t="s">
        <v>120</v>
      </c>
      <c r="C46" s="102"/>
      <c r="D46" s="102"/>
      <c r="E46" s="102"/>
      <c r="F46" s="103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101" t="s">
        <v>94</v>
      </c>
      <c r="C47" s="102"/>
      <c r="D47" s="102"/>
      <c r="E47" s="102"/>
      <c r="F47" s="103"/>
      <c r="G47" s="24">
        <f>(G45+G46)*'Fane 14. Nøgletal'!C22</f>
        <v>2043922.3276691947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8" t="s">
        <v>245</v>
      </c>
      <c r="C51" s="99"/>
      <c r="D51" s="99"/>
      <c r="E51" s="99"/>
      <c r="F51" s="99"/>
      <c r="G51" s="99"/>
      <c r="H51" s="100"/>
      <c r="I51" s="1"/>
    </row>
    <row r="52" spans="1:9" x14ac:dyDescent="0.25">
      <c r="A52" s="1"/>
      <c r="B52" s="101" t="s">
        <v>246</v>
      </c>
      <c r="C52" s="102"/>
      <c r="D52" s="102"/>
      <c r="E52" s="102"/>
      <c r="F52" s="103"/>
      <c r="G52" s="24">
        <f>(G45+G46-G47)*(1+'Fane 14. Nøgletal'!C13)</f>
        <v>73162348.36781539</v>
      </c>
      <c r="H52" s="14" t="s">
        <v>3</v>
      </c>
      <c r="I52" s="1"/>
    </row>
    <row r="53" spans="1:9" x14ac:dyDescent="0.25">
      <c r="A53" s="1"/>
      <c r="B53" s="101" t="s">
        <v>247</v>
      </c>
      <c r="C53" s="102"/>
      <c r="D53" s="102"/>
      <c r="E53" s="102"/>
      <c r="F53" s="103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101" t="s">
        <v>248</v>
      </c>
      <c r="C54" s="102"/>
      <c r="D54" s="102"/>
      <c r="E54" s="102"/>
      <c r="F54" s="103"/>
      <c r="G54" s="24">
        <f>(G52+G53)*'Fane 14. Nøgletal'!C22</f>
        <v>2011964.5801149232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113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103</v>
      </c>
      <c r="C9" s="102"/>
      <c r="D9" s="102"/>
      <c r="E9" s="102"/>
      <c r="F9" s="103"/>
      <c r="G9" s="23">
        <v>0</v>
      </c>
      <c r="H9" s="14"/>
      <c r="I9" s="1"/>
    </row>
    <row r="10" spans="1:9" x14ac:dyDescent="0.25">
      <c r="A10" s="1"/>
      <c r="B10" s="101" t="s">
        <v>148</v>
      </c>
      <c r="C10" s="102"/>
      <c r="D10" s="102"/>
      <c r="E10" s="102"/>
      <c r="F10" s="103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86" t="s">
        <v>152</v>
      </c>
      <c r="C12" s="87"/>
      <c r="D12" s="87"/>
      <c r="E12" s="87"/>
      <c r="F12" s="87"/>
      <c r="G12" s="87"/>
      <c r="H12" s="88"/>
      <c r="I12" s="1"/>
    </row>
    <row r="13" spans="1:9" ht="30.75" customHeight="1" x14ac:dyDescent="0.25">
      <c r="A13" s="18"/>
      <c r="B13" s="111"/>
      <c r="C13" s="111"/>
      <c r="D13" s="111"/>
      <c r="E13" s="111"/>
      <c r="F13" s="111"/>
      <c r="G13" s="111"/>
      <c r="H13" s="11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2020-09-01T11:56:06Z</dcterms:modified>
</cp:coreProperties>
</file>