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Gribvand Spildevand AS (S032)\ØR2025\"/>
    </mc:Choice>
  </mc:AlternateContent>
  <xr:revisionPtr revIDLastSave="0" documentId="13_ncr:1_{A797E031-0592-4E5E-91D9-630635DCCF5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<sst xmlns="http://schemas.openxmlformats.org/spreadsheetml/2006/main" count="551" uniqueCount="236">
  <si>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</si>
  <si>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</si>
  <si>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</si>
  <si>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</si>
  <si>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</si>
  <si>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</si>
  <si>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</si>
  <si>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</si>
  <si>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</si>
  <si>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</si>
  <si>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</si>
  <si>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</si>
  <si>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</si>
  <si>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</si>
  <si>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</si>
  <si>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</si>
  <si>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</si>
  <si>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</si>
  <si>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</si>
  <si>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</si>
  <si>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</si>
  <si>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</si>
  <si>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</si>
  <si>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</si>
  <si>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</si>
  <si>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</si>
  <si>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</si>
  <si>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</si>
  <si>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</si>
  <si>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</si>
  <si>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</si>
  <si>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</si>
  <si>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</si>
  <si>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</si>
  <si>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</si>
  <si>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</si>
  <si>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</si>
  <si>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</si>
  <si>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</si>
  <si>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</si>
  <si>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</si>
  <si>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</si>
  <si>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</si>
  <si>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</si>
  <si>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</si>
  <si>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</si>
  <si>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</si>
  <si>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</si>
  <si>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</si>
  <si>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</si>
  <si>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</si>
  <si>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</si>
  <si>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</si>
  <si>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</si>
  <si>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</si>
  <si>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</si>
  <si>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</si>
  <si>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</si>
  <si>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</si>
  <si>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</si>
  <si>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</si>
  <si>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</si>
  <si>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</si>
  <si>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</si>
  <si>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</si>
  <si>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</si>
  <si>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</si>
  <si>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</si>
  <si>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</si>
  <si>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</si>
  <si>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</si>
  <si>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</si>
  <si>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</si>
  <si>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</si>
  <si>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</si>
  <si>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</si>
  <si>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</si>
  <si>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</si>
  <si>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</si>
  <si>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</si>
  <si>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</si>
  <si>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</si>
  <si>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</si>
  <si>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</si>
  <si>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</si>
  <si>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</si>
  <si>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</si>
  <si>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</si>
  <si>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</si>
  <si>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</si>
  <si>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</si>
  <si>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</si>
  <si>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</si>
  <si>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</si>
  <si>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</si>
  <si>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</si>
  <si>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</si>
  <si>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</si>
  <si>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</si>
  <si>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</si>
  <si>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</si>
  <si>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</si>
  <si>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</si>
  <si>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</si>
  <si>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</si>
  <si>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</si>
  <si>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</si>
  <si>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</si>
  <si>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</si>
  <si>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</si>
  <si>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</si>
  <si>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</si>
  <si>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</si>
  <si>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</si>
  <si>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</si>
  <si>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</si>
  <si>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</si>
  <si>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</si>
  <si>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</si>
  <si>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</si>
  <si>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</si>
  <si>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</si>
  <si>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</si>
  <si>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</si>
  <si>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</si>
  <si>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</si>
  <si>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</si>
  <si>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</si>
  <si>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</si>
  <si>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</si>
  <si>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</si>
  <si>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</si>
  <si>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</si>
  <si>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</si>
  <si>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</si>
  <si>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</si>
  <si>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</si>
  <si>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</si>
  <si>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</si>
  <si>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</si>
  <si>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</si>
  <si>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</si>
  <si>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</si>
  <si>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</si>
  <si>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</si>
  <si>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</si>
  <si>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</si>
  <si>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</si>
  <si>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</si>
  <si>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</si>
  <si>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</si>
  <si>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</si>
  <si>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</si>
  <si>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</si>
  <si>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</si>
  <si>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</si>
  <si>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</si>
  <si>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</si>
  <si>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</si>
  <si>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</si>
  <si>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</si>
  <si>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</si>
  <si>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</si>
  <si>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</si>
  <si>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</si>
  <si>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</si>
  <si>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</si>
  <si>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</si>
  <si>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</si>
  <si>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</si>
  <si>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</si>
  <si>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</si>
  <si>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</si>
  <si>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</si>
  <si>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</si>
  <si>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</si>
  <si>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</si>
  <si>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</si>
  <si>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</si>
  <si>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</si>
  <si>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</si>
  <si>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</si>
  <si>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</si>
  <si>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</si>
  <si>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</si>
  <si>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</si>
  <si>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</si>
  <si>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</si>
  <si>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</si>
  <si>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</si>
  <si>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</si>
  <si>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</si>
  <si>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</si>
  <si>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</si>
  <si>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</si>
  <si>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</si>
  <si>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</si>
  <si>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</si>
  <si>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</si>
  <si>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</si>
  <si>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</si>
  <si>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</si>
  <si>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</si>
  <si>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</si>
  <si>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</si>
  <si>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</si>
  <si>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</si>
  <si>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</si>
  <si>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</si>
  <si>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</si>
  <si>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</si>
  <si>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</si>
  <si>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</si>
  <si>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</si>
  <si>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</si>
  <si>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</si>
  <si>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</si>
  <si>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</si>
  <si>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</si>
  <si>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</si>
  <si>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</si>
  <si>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</si>
  <si>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</si>
  <si>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</si>
  <si>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</si>
  <si>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</si>
  <si>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</si>
  <si>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</si>
  <si>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</si>
  <si>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</si>
  <si>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Ejendomsskatter</t>
  </si>
  <si>
    <t>Erstatninger</t>
  </si>
  <si>
    <t>Gebyr til Miljøstyrelsen</t>
  </si>
  <si>
    <t>Til statusmeddelelse for 2025</t>
  </si>
  <si>
    <t>Udvidelse forsyningsområdet i 2023</t>
  </si>
  <si>
    <t>Justering ØR - PFAS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</si>
</sst>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233</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R6PS7eiYANlCdlQMXETmP0Hb1noS73/X8GKbC6AN3fVm2xHUnVgmx8aAQxROq6QjZIl+mywLywtxHz1iCYRjZg==" saltValue="bRGNMMTtMj1G5d84y3OTx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228</v>
      </c>
      <c r="C10" s="73">
        <v>1615832</v>
      </c>
      <c r="D10" s="14" t="s">
        <v>3</v>
      </c>
      <c r="E10" s="1"/>
    </row>
    <row r="11" spans="1:5" ht="15" customHeight="1" x14ac:dyDescent="0.25">
      <c r="A11" s="1"/>
      <c r="B11" s="72" t="s">
        <v>229</v>
      </c>
      <c r="C11" s="73">
        <v>77760</v>
      </c>
      <c r="D11" s="14" t="s">
        <v>3</v>
      </c>
      <c r="E11" s="1"/>
    </row>
    <row r="12" spans="1:5" x14ac:dyDescent="0.25">
      <c r="A12" s="1"/>
      <c r="B12" s="72" t="s">
        <v>230</v>
      </c>
      <c r="C12" s="73">
        <v>34005</v>
      </c>
      <c r="D12" s="14" t="s">
        <v>3</v>
      </c>
      <c r="E12" s="1"/>
    </row>
    <row r="13" spans="1:5" x14ac:dyDescent="0.25">
      <c r="A13" s="1"/>
      <c r="B13" s="72" t="s">
        <v>231</v>
      </c>
      <c r="C13" s="73">
        <v>236340.2</v>
      </c>
      <c r="D13" s="14" t="s">
        <v>3</v>
      </c>
      <c r="E13" s="1"/>
    </row>
    <row r="14" spans="1:5" x14ac:dyDescent="0.25">
      <c r="A14" s="1"/>
      <c r="B14" s="72" t="s">
        <v>232</v>
      </c>
      <c r="C14" s="73">
        <v>17580</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1981517.2</v>
      </c>
      <c r="D20" s="13" t="s">
        <v>3</v>
      </c>
      <c r="E20" s="1"/>
    </row>
    <row r="21" spans="1:5" x14ac:dyDescent="0.25">
      <c r="A21" s="1"/>
      <c r="B21" s="33" t="s">
        <v>168</v>
      </c>
      <c r="C21" s="12">
        <f>C20*(1+'Fane 15. Nøgletal'!C10)^2</f>
        <v>2252976.5160608678</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gkublHZda8laJCfhImm9Z+lv70aeKimvLVBzmpFlle9JTgXSvhN2lTnqCLehsFGAO2l8uJorjFoTekERe2gEhA==" saltValue="v91tJVTrrxVdPSlPkopSO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441323.54072773457</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-5331866.7255308628</v>
      </c>
      <c r="D14" s="14" t="s">
        <v>3</v>
      </c>
      <c r="E14" s="1"/>
    </row>
    <row r="15" spans="1:5" x14ac:dyDescent="0.25">
      <c r="A15" s="1"/>
      <c r="B15" s="65" t="s">
        <v>203</v>
      </c>
      <c r="C15" s="9">
        <v>-5331866.7255308628</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100673426.83859245</v>
      </c>
      <c r="D20" s="14" t="s">
        <v>3</v>
      </c>
      <c r="E20" s="1"/>
    </row>
    <row r="21" spans="1:5" x14ac:dyDescent="0.25">
      <c r="A21" s="1"/>
      <c r="B21" s="65" t="s">
        <v>207</v>
      </c>
      <c r="C21" s="9">
        <v>97163391</v>
      </c>
      <c r="D21" s="14" t="s">
        <v>3</v>
      </c>
      <c r="E21" s="1"/>
    </row>
    <row r="22" spans="1:5" x14ac:dyDescent="0.25">
      <c r="A22" s="1"/>
      <c r="B22" s="65" t="s">
        <v>29</v>
      </c>
      <c r="C22" s="9">
        <v>-175000</v>
      </c>
      <c r="D22" s="14" t="s">
        <v>3</v>
      </c>
      <c r="E22" s="1"/>
    </row>
    <row r="23" spans="1:5" x14ac:dyDescent="0.25">
      <c r="A23" s="1"/>
      <c r="B23" s="82" t="s">
        <v>208</v>
      </c>
      <c r="C23" s="57">
        <f>C20-C21-C22</f>
        <v>3685035.8385924548</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-1646830.886938408</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9aY10kMw8Xjmcunrxr1dKDHUvn4BX4j6w1Yz0yeQ17NmS0NwPtjapbhAyFiE8gtx3VfS8idHQYlv5/wyAZ+qqg==" saltValue="9pueinVo0MtVQR7MGZ13K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mCcWI5PP+fj2JIuOTEDIG3dtfCU2I1SBEqUDbZKSgy4whssUIcIa9QJUMdxhMapTt3cAXRnY6v0vxFFk5rQ==" saltValue="UfkelepRaq3Z89h+vuYrr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217</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9" t="s">
        <v>219</v>
      </c>
      <c r="C12" s="110"/>
      <c r="D12" s="111"/>
      <c r="E12" s="1"/>
    </row>
    <row r="13" spans="1:5" ht="26.25" x14ac:dyDescent="0.25">
      <c r="A13" s="1"/>
      <c r="B13" s="79" t="s">
        <v>218</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JnEtqs9jCHcWiOClwAcll/J1v+DV858kY6rJV02FfVNaeNW2X+2rKcPte46NhETyjZVrbq0cGyFRDu3010/wg==" saltValue="as7O3peSYMKGGlBGSA871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PNLjEFKB3mVJQZcPxXIjLq5AFKmJNUx0LNZan/Sgssjce42MyqLkes1NwY8LeNUr30skA+4UkofHO45h9TYiRw==" saltValue="Wz39B+7hmcTaD/Ly0QBwt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377982</v>
      </c>
      <c r="D11" s="14" t="s">
        <v>3</v>
      </c>
      <c r="E11" s="9">
        <v>124229</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377982</v>
      </c>
      <c r="D19" s="13" t="s">
        <v>3</v>
      </c>
      <c r="E19" s="12">
        <f>SUM(E10:E18)</f>
        <v>124229</v>
      </c>
      <c r="F19" s="13" t="s">
        <v>3</v>
      </c>
      <c r="G19" s="1"/>
    </row>
    <row r="20" spans="1:7" x14ac:dyDescent="0.25">
      <c r="A20" s="1"/>
      <c r="B20" s="33" t="s">
        <v>175</v>
      </c>
      <c r="C20" s="12">
        <f>C19*(1+'Fane 15. Nøgletal'!C10)</f>
        <v>403042.20660000003</v>
      </c>
      <c r="D20" s="13" t="s">
        <v>3</v>
      </c>
      <c r="E20" s="12">
        <f>E19*(1+'Fane 15. Nøgletal'!C10)</f>
        <v>132465.38270000002</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0M6Xh0Ch714t9l28qA7S27kss5kdmQZKe0uX5NiMzGzyq2XjcZtDXj8us+lWesaW4s0Gr664vvCQFGb+na3nw==" saltValue="oHUOaSbXVFejyfYUt978Z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t="s">
        <v>235</v>
      </c>
      <c r="C10" s="21">
        <v>1363670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1363670</v>
      </c>
      <c r="D13" s="13" t="s">
        <v>3</v>
      </c>
      <c r="E13" s="12">
        <f>SUM(E10:E12)</f>
        <v>0</v>
      </c>
      <c r="F13" s="13" t="s">
        <v>3</v>
      </c>
      <c r="G13" s="1"/>
    </row>
    <row r="14" spans="1:7" x14ac:dyDescent="0.25">
      <c r="A14" s="1"/>
      <c r="B14" s="33" t="s">
        <v>178</v>
      </c>
      <c r="C14" s="12">
        <f>C13*(1+'Fane 15. Nøgletal'!C10)^2</f>
        <v>1550486.9125822999</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EG9DNajCmrxozAckaBla7fbAI8hNx6jgRWQrHNfSY387gGMfly5n6RZQNUSZc40GzP47+4FlvIHd/vX0yBXwA==" saltValue="iY3fHM2xnJDo7OVDxNAPT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HfC20TzieU70Gy8E0GlTRsFyfss68UObVWiDg7M70W0ymircP+lHG2/wSRIy/ZyNwRDaWOy1ywIKX3T5La5J1A==" saltValue="kit9xGfkDR04wnDwwG7CY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IP38xM4ZSAvu8PIPhSERTRM/1OV2UW6YYWi1pvIGwDO2T6FySDYqNhqBJpIKtInj2BSNob8sMieAGTdWaBeS2Q==" saltValue="WFfmfPlA6vXBc/8Bgu3qx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zNLytXdW2Sddan6np9aH/JxhH4+Efr+ldVXNKCzaZk+inWzh7emMulr/NRdaxgJZU+puH7IKJtgUY3cdLbW+g==" saltValue="qGDfz+0mE3On3sGUy61pb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106415307.09601833</v>
      </c>
      <c r="D9" s="8" t="s">
        <v>3</v>
      </c>
      <c r="E9" s="1"/>
    </row>
    <row r="10" spans="1:5" ht="17.25" customHeight="1" x14ac:dyDescent="0.25">
      <c r="A10" s="1"/>
      <c r="B10" s="64" t="s">
        <v>35</v>
      </c>
      <c r="C10" s="7">
        <f>'Fane 11.1. Varige tillæg'!C20</f>
        <v>403042.20660000003</v>
      </c>
      <c r="D10" s="8" t="s">
        <v>3</v>
      </c>
      <c r="E10" s="1"/>
    </row>
    <row r="11" spans="1:5" ht="17.25" customHeight="1" x14ac:dyDescent="0.25">
      <c r="A11" s="1"/>
      <c r="B11" s="64" t="s">
        <v>36</v>
      </c>
      <c r="C11" s="9">
        <f>'Fane 11.1. Varige tillæg'!E20</f>
        <v>132465.38270000002</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8633860.9665288702</v>
      </c>
      <c r="D16" s="8" t="s">
        <v>3</v>
      </c>
      <c r="E16" s="1"/>
    </row>
    <row r="17" spans="1:5" ht="17.25" customHeight="1" x14ac:dyDescent="0.25">
      <c r="A17" s="1"/>
      <c r="B17" s="64" t="s">
        <v>10</v>
      </c>
      <c r="C17" s="38">
        <f>-SUM(C9,C10:C16)*'Fane 5. Individuelt eff. krav'!C9</f>
        <v>-1581933.0484894242</v>
      </c>
      <c r="D17" s="8" t="s">
        <v>3</v>
      </c>
      <c r="E17" s="1"/>
    </row>
    <row r="18" spans="1:5" ht="17.25" customHeight="1" x14ac:dyDescent="0.25">
      <c r="A18" s="1"/>
      <c r="B18" s="64" t="s">
        <v>22</v>
      </c>
      <c r="C18" s="38">
        <f>-'Fane 4.1. Gen. krav - drift'!C17</f>
        <v>-731659.20554092061</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113271083.39781684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2252976.5160608678</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1550486.9125822999</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-52230.254504615856</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1498256.658077684</v>
      </c>
      <c r="D30" s="11" t="s">
        <v>3</v>
      </c>
      <c r="E30" s="1"/>
    </row>
    <row r="31" spans="1:5" x14ac:dyDescent="0.25">
      <c r="A31" s="1"/>
      <c r="B31" s="33" t="s">
        <v>69</v>
      </c>
      <c r="C31" s="28"/>
      <c r="D31" s="19"/>
      <c r="E31" s="1"/>
    </row>
    <row r="32" spans="1:5" x14ac:dyDescent="0.25">
      <c r="A32" s="1"/>
      <c r="B32" s="31" t="s">
        <v>79</v>
      </c>
      <c r="C32" s="62">
        <f>'Fane 7. Kontrol af ØR2023'!C27</f>
        <v>-1646830.886938408</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115375485.68501697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dCyiiGx9bseYZ2hisPMyjNlT/b1BrPtiovn8nNNE2QnMKdnb/w90PFMlQzxajKJ5MRU8VJu1urtTn2rZ/feDKQ==" saltValue="hIG27/BRKXQOf4n7BVlLi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fJTdz7R5ydBt6zwET0Kkl5dci85QStptysaZuSH7XcKcQITjPcxTjWr3rQegTVb3HacFliewcH09dEwrGeEYXw==" saltValue="PMXpT++5clPQN8UovAvJB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113271083.39781684</v>
      </c>
      <c r="D9" s="8" t="s">
        <v>3</v>
      </c>
      <c r="E9" s="1"/>
    </row>
    <row r="10" spans="1:5" ht="15" customHeight="1" x14ac:dyDescent="0.25">
      <c r="A10" s="1"/>
      <c r="B10" s="26" t="s">
        <v>19</v>
      </c>
      <c r="C10" s="7">
        <f>C9*'Fane 15. Nøgletal'!C10</f>
        <v>7509872.829275256</v>
      </c>
      <c r="D10" s="8" t="s">
        <v>3</v>
      </c>
      <c r="E10" s="1"/>
    </row>
    <row r="11" spans="1:5" ht="15" customHeight="1" x14ac:dyDescent="0.25">
      <c r="A11" s="1"/>
      <c r="B11" s="26" t="s">
        <v>10</v>
      </c>
      <c r="C11" s="9">
        <f>-SUM(C9:C10)*'Fane 5. Individuelt eff. krav'!C9</f>
        <v>-1653051.1956386494</v>
      </c>
      <c r="D11" s="8" t="s">
        <v>3</v>
      </c>
      <c r="E11" s="1"/>
    </row>
    <row r="12" spans="1:5" ht="15" customHeight="1" x14ac:dyDescent="0.25">
      <c r="A12" s="1"/>
      <c r="B12" s="26" t="s">
        <v>22</v>
      </c>
      <c r="C12" s="9">
        <f>-'Fane 4.1. Gen. krav - drift'!C22</f>
        <v>-764564.84665091813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118363340.18480252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2402348.8590757032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120765689.04387823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XHpCJJBulliFTBs77+kz/Jg3vD03R7hPY0VphkHcTe/jB6drM+Fq19pyhrsdp0KecR4ardHwV7M9WPdqAHCQ==" saltValue="Mnwb/Tjz4ckXaS4lPlVCS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118363340.18480252</v>
      </c>
      <c r="D9" s="8" t="s">
        <v>3</v>
      </c>
      <c r="E9" s="1"/>
    </row>
    <row r="10" spans="1:5" ht="15" customHeight="1" x14ac:dyDescent="0.25">
      <c r="A10" s="1"/>
      <c r="B10" s="26" t="s">
        <v>19</v>
      </c>
      <c r="C10" s="7">
        <f>SUM(C9:C9)*'Fane 15. Nøgletal'!C10</f>
        <v>7847489.454252407</v>
      </c>
      <c r="D10" s="8" t="s">
        <v>3</v>
      </c>
      <c r="E10" s="1"/>
    </row>
    <row r="11" spans="1:5" ht="15" customHeight="1" x14ac:dyDescent="0.25">
      <c r="A11" s="1"/>
      <c r="B11" s="26" t="s">
        <v>10</v>
      </c>
      <c r="C11" s="9">
        <f>-SUM(C9:C10)*'Fane 5. Individuelt eff. krav'!C9</f>
        <v>-1727366.3775696096</v>
      </c>
      <c r="D11" s="8" t="s">
        <v>3</v>
      </c>
      <c r="E11" s="1"/>
    </row>
    <row r="12" spans="1:5" ht="15" customHeight="1" x14ac:dyDescent="0.25">
      <c r="A12" s="1"/>
      <c r="B12" s="26" t="s">
        <v>22</v>
      </c>
      <c r="C12" s="9">
        <f>-'Fane 4.1. Gen. krav - drift'!C27</f>
        <v>-798950.38606419659</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123684512.87542111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2561624.5884324224</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126246137.46385352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Hc8HwGCBub1ElGykXwkPHZ9ti+wdDGPciUq/012daYO/41ZTV/AqK431O3Qk1XWNxoVnKQOdCgcV6q3KhzxA==" saltValue="VF/rHDezQmY7eebNcVLoQ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123684512.87542111</v>
      </c>
      <c r="D9" s="8" t="s">
        <v>3</v>
      </c>
      <c r="E9" s="1"/>
    </row>
    <row r="10" spans="1:5" ht="15" customHeight="1" x14ac:dyDescent="0.25">
      <c r="A10" s="1"/>
      <c r="B10" s="26" t="s">
        <v>19</v>
      </c>
      <c r="C10" s="7">
        <f>SUM(C9:C9)*'Fane 15. Nøgletal'!C10</f>
        <v>8200283.2036404191</v>
      </c>
      <c r="D10" s="8" t="s">
        <v>3</v>
      </c>
      <c r="E10" s="1"/>
    </row>
    <row r="11" spans="1:5" ht="15" customHeight="1" x14ac:dyDescent="0.25">
      <c r="A11" s="1"/>
      <c r="B11" s="26" t="s">
        <v>10</v>
      </c>
      <c r="C11" s="9">
        <f>-SUM(C9:C10)*'Fane 5. Individuelt eff. krav'!C9</f>
        <v>-1805022.3036415263</v>
      </c>
      <c r="D11" s="8" t="s">
        <v>3</v>
      </c>
      <c r="E11" s="1"/>
    </row>
    <row r="12" spans="1:5" ht="15" customHeight="1" x14ac:dyDescent="0.25">
      <c r="A12" s="1"/>
      <c r="B12" s="26" t="s">
        <v>22</v>
      </c>
      <c r="C12" s="9">
        <f>-'Fane 4.1. Gen. krav - drift'!C32</f>
        <v>-834882.3807270478</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129244891.39469294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2731460.2986454922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131976351.69333844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sjBY6nn895jX3yrJdDGq3De2sIIFljZ5ScfEwLpuy7pq6579RA4zwoxEoe/EwCahQx/uWXjGBwiGRooAmjm5w==" saltValue="WSh+lwWA3lA9kSrkxRgls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98440127.242932588</v>
      </c>
      <c r="D9" s="8" t="s">
        <v>3</v>
      </c>
      <c r="E9" s="1"/>
    </row>
    <row r="10" spans="1:5" ht="15" customHeight="1" x14ac:dyDescent="0.25">
      <c r="A10" s="1"/>
      <c r="B10" s="64" t="s">
        <v>35</v>
      </c>
      <c r="C10" s="7">
        <v>375672.02960000001</v>
      </c>
      <c r="D10" s="8" t="s">
        <v>3</v>
      </c>
      <c r="E10" s="1"/>
    </row>
    <row r="11" spans="1:5" ht="15" customHeight="1" x14ac:dyDescent="0.25">
      <c r="A11" s="1"/>
      <c r="B11" s="64" t="s">
        <v>36</v>
      </c>
      <c r="C11" s="9">
        <v>1650604.2448</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8117685.4042004729</v>
      </c>
      <c r="D16" s="8" t="s">
        <v>3</v>
      </c>
      <c r="E16" s="1"/>
    </row>
    <row r="17" spans="1:5" ht="15" customHeight="1" x14ac:dyDescent="0.25">
      <c r="A17" s="1"/>
      <c r="B17" s="64" t="s">
        <v>10</v>
      </c>
      <c r="C17" s="38">
        <v>-1486120.5245103992</v>
      </c>
      <c r="D17" s="8" t="s">
        <v>3</v>
      </c>
      <c r="E17" s="1"/>
    </row>
    <row r="18" spans="1:5" ht="15" customHeight="1" x14ac:dyDescent="0.25">
      <c r="A18" s="1"/>
      <c r="B18" s="64" t="s">
        <v>22</v>
      </c>
      <c r="C18" s="38">
        <v>-682661.30100432888</v>
      </c>
      <c r="D18" s="8" t="s">
        <v>3</v>
      </c>
      <c r="E18" s="1"/>
    </row>
    <row r="19" spans="1:5" ht="15" customHeight="1" x14ac:dyDescent="0.25">
      <c r="A19" s="1"/>
      <c r="B19" s="64" t="s">
        <v>23</v>
      </c>
      <c r="C19" s="38">
        <v>0</v>
      </c>
      <c r="D19" s="8" t="s">
        <v>3</v>
      </c>
      <c r="E19" s="43"/>
    </row>
    <row r="20" spans="1:5" ht="15" customHeight="1" x14ac:dyDescent="0.25">
      <c r="A20" s="1"/>
      <c r="B20" s="82" t="s">
        <v>21</v>
      </c>
      <c r="C20" s="10">
        <v>106415307.09601833</v>
      </c>
      <c r="D20" s="11" t="s">
        <v>3</v>
      </c>
      <c r="E20" s="1"/>
    </row>
    <row r="21" spans="1:5" ht="15" customHeight="1" x14ac:dyDescent="0.25">
      <c r="A21" s="1"/>
      <c r="B21" s="33" t="s">
        <v>12</v>
      </c>
      <c r="C21" s="28"/>
      <c r="D21" s="19"/>
      <c r="E21" s="1"/>
    </row>
    <row r="22" spans="1:5" ht="15" customHeight="1" x14ac:dyDescent="0.25">
      <c r="A22" s="1"/>
      <c r="B22" s="31" t="s">
        <v>12</v>
      </c>
      <c r="C22" s="10">
        <v>3755476.3392966399</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-5331866.5</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804322.47216078779</v>
      </c>
      <c r="D38" s="11" t="s">
        <v>3</v>
      </c>
      <c r="E38" s="1"/>
    </row>
    <row r="39" spans="1:5" x14ac:dyDescent="0.25">
      <c r="A39" s="1"/>
      <c r="B39" s="33" t="s">
        <v>65</v>
      </c>
      <c r="C39" s="45">
        <v>105643239.40747575</v>
      </c>
      <c r="D39" s="30" t="s">
        <v>3</v>
      </c>
      <c r="E39" s="1"/>
    </row>
    <row r="40" spans="1:5" ht="30" customHeight="1" x14ac:dyDescent="0.25">
      <c r="A40" s="1"/>
      <c r="B40" s="107" t="s">
        <v>225</v>
      </c>
      <c r="C40" s="107"/>
      <c r="D40" s="107"/>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twMT0SXqwRJmTseWjJ4l5nTXHGwZ0qvRHNNVP+o5kDt/RJAw7UviB1y82Fwl8nH9zf2LRyZgBPMCEwbYdUxNw==" saltValue="mn+VcuMgv6uO+hsQrAisYQ=="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33727038.720624767</v>
      </c>
      <c r="D9" s="14" t="s">
        <v>3</v>
      </c>
      <c r="E9" s="1"/>
    </row>
    <row r="10" spans="1:5" x14ac:dyDescent="0.25">
      <c r="A10" s="1"/>
      <c r="B10" s="65" t="s">
        <v>125</v>
      </c>
      <c r="C10" s="23">
        <f>('Fane 3. Omkostninger i ØR2024'!C10+'Fane 3. Omkostninger i ØR2024'!C12+'Fane 3. Omkostninger i ØR2024'!C14)*(1+'Fane 15. Nøgletal'!C9)</f>
        <v>406026.32959168003</v>
      </c>
      <c r="D10" s="14" t="s">
        <v>3</v>
      </c>
      <c r="E10" s="1"/>
    </row>
    <row r="11" spans="1:5" x14ac:dyDescent="0.25">
      <c r="A11" s="1"/>
      <c r="B11" s="65" t="s">
        <v>131</v>
      </c>
      <c r="C11" s="23">
        <f>C9*'Fane 15. Nøgletal'!C21+C10*'Fane 15. Nøgletal'!C21</f>
        <v>682661.30100432888</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36153196.372148454</v>
      </c>
      <c r="D15" s="14" t="s">
        <v>3</v>
      </c>
      <c r="E15" s="1"/>
    </row>
    <row r="16" spans="1:5" x14ac:dyDescent="0.25">
      <c r="A16" s="1"/>
      <c r="B16" s="65" t="s">
        <v>184</v>
      </c>
      <c r="C16" s="23">
        <f>('Fane 2.1. Økonomisk ramme 2025'!C10+'Fane 2.1. Økonomisk ramme 2025'!C12+'Fane 2.1. Økonomisk ramme 2025'!C14)*(1+'Fane 15. Nøgletal'!C10)</f>
        <v>429763.90489758004</v>
      </c>
      <c r="D16" s="14" t="s">
        <v>3</v>
      </c>
      <c r="E16" s="1"/>
    </row>
    <row r="17" spans="1:5" x14ac:dyDescent="0.25">
      <c r="A17" s="1"/>
      <c r="B17" s="65" t="s">
        <v>132</v>
      </c>
      <c r="C17" s="23">
        <f>C15*'Fane 15. Nøgletal'!C21+C16*'Fane 15. Nøgletal'!C21</f>
        <v>731659.20554092061</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38228242.332545906</v>
      </c>
      <c r="D21" s="14" t="s">
        <v>3</v>
      </c>
      <c r="E21" s="1"/>
    </row>
    <row r="22" spans="1:5" x14ac:dyDescent="0.25">
      <c r="A22" s="1"/>
      <c r="B22" s="65" t="s">
        <v>196</v>
      </c>
      <c r="C22" s="23">
        <f>C21*'Fane 15. Nøgletal'!C21</f>
        <v>764564.84665091813</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39947519.303209826</v>
      </c>
      <c r="D26" s="14" t="s">
        <v>3</v>
      </c>
      <c r="E26" s="1"/>
    </row>
    <row r="27" spans="1:5" x14ac:dyDescent="0.25">
      <c r="A27" s="1"/>
      <c r="B27" s="65" t="s">
        <v>194</v>
      </c>
      <c r="C27" s="23">
        <f>C26*'Fane 15. Nøgletal'!C21</f>
        <v>798950.38606419659</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41744119.036352389</v>
      </c>
      <c r="D31" s="14" t="s">
        <v>3</v>
      </c>
      <c r="E31" s="1"/>
    </row>
    <row r="32" spans="1:5" x14ac:dyDescent="0.25">
      <c r="A32" s="1"/>
      <c r="B32" s="65" t="s">
        <v>195</v>
      </c>
      <c r="C32" s="23">
        <f>C31*'Fane 15. Nøgletal'!C21</f>
        <v>834882.3807270478</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4taTIY7UYmuAMVVmOfZL9h0LbdyEVaMfKbdyaDZet2IuNjcgm/gnXY0zjGnVnka62H6WmBvFia0uCh6aNylw==" saltValue="WCF4gaZBloQ37Z8YAXM2b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86932943.684399709</v>
      </c>
      <c r="D9" s="14" t="s">
        <v>3</v>
      </c>
      <c r="E9" s="1"/>
    </row>
    <row r="10" spans="1:5" x14ac:dyDescent="0.25">
      <c r="A10" s="1"/>
      <c r="B10" s="65" t="s">
        <v>126</v>
      </c>
      <c r="C10" s="23">
        <f>('Fane 3. Omkostninger i ØR2024'!C11+'Fane 3. Omkostninger i ØR2024'!C13+'Fane 3. Omkostninger i ØR2024'!C15)*(1+'Fane 15. Nøgletal'!C9)</f>
        <v>1783973.06777984</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95885243.625755653</v>
      </c>
      <c r="D15" s="14" t="s">
        <v>3</v>
      </c>
      <c r="E15" s="1"/>
    </row>
    <row r="16" spans="1:5" x14ac:dyDescent="0.25">
      <c r="A16" s="1"/>
      <c r="B16" s="65" t="s">
        <v>185</v>
      </c>
      <c r="C16" s="23">
        <f>('Fane 2.1. Økonomisk ramme 2025'!C11+'Fane 2.1. Økonomisk ramme 2025'!C13+'Fane 2.1. Økonomisk ramme 2025'!C15)*(1+'Fane 15. Nøgletal'!C10)</f>
        <v>141247.83757301001</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102393047.84734735</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109181706.91962647</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116420454.08839771</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Nj6O0IGWrojIEJFKwaQahGUzJ24A8CwsVkAyN1Gk/aEs/6TKM99F7/YHbW9eUgOSor0Zz6YQvwsVG+D821YbQ==" saltValue="fSIz/4aTY6U/QVZEC3ii7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1.3686356254131539E-2</v>
      </c>
      <c r="D9" s="1"/>
    </row>
    <row r="10" spans="1:4" x14ac:dyDescent="0.25">
      <c r="A10" s="1"/>
      <c r="B10" s="33"/>
      <c r="C10" s="19"/>
      <c r="D10" s="1"/>
    </row>
    <row r="11" spans="1:4" x14ac:dyDescent="0.25">
      <c r="A11" s="1"/>
      <c r="B11" s="113" t="s">
        <v>220</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5P1Br2nAH4toIdZjEe9GrDpGevIsUbEQ2J5FlwQMJrPExhBxmHAXFbZ22reWOw1I/Do1YCuUWaB+vVUL8B+DNA==" saltValue="M5WF5Uq62wDc2d3RlGroV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2024-05-06T07:45:39Z</cp:lastPrinted>
  <dcterms:created xsi:type="dcterms:W3CDTF">2016-06-02T08:51:18Z</dcterms:created>
  <dcterms:modified xsi:type="dcterms:W3CDTF">2024-08-16T11:15:13Z</dcterms:modified>
</cp:coreProperties>
</file>